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nce\BUS_SERV\AOC Contracting\RFPs, IFBs, RFIs, RFOs, ads\FY2015 Solicitations\RFQ - 2016-xx-CP-JCC Inspection\"/>
    </mc:Choice>
  </mc:AlternateContent>
  <bookViews>
    <workbookView xWindow="120" yWindow="12" windowWidth="18960" windowHeight="11328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J2" i="1" l="1"/>
  <c r="G44" i="1"/>
  <c r="F44" i="1"/>
  <c r="E44" i="1"/>
  <c r="G43" i="1"/>
  <c r="F43" i="1"/>
  <c r="E43" i="1"/>
  <c r="G41" i="1"/>
  <c r="F41" i="1"/>
  <c r="E41" i="1"/>
  <c r="G36" i="1"/>
  <c r="F36" i="1"/>
  <c r="E36" i="1"/>
  <c r="G31" i="1"/>
  <c r="F31" i="1"/>
  <c r="E31" i="1"/>
  <c r="G27" i="1"/>
  <c r="F27" i="1"/>
  <c r="E27" i="1"/>
  <c r="G22" i="1"/>
  <c r="F22" i="1"/>
  <c r="E22" i="1"/>
  <c r="G20" i="1"/>
  <c r="F20" i="1"/>
  <c r="E20" i="1"/>
  <c r="G14" i="1"/>
  <c r="F14" i="1"/>
  <c r="E14" i="1"/>
  <c r="G8" i="1"/>
  <c r="F8" i="1"/>
  <c r="E8" i="1"/>
  <c r="H9" i="1"/>
  <c r="J9" i="1" s="1"/>
  <c r="I9" i="1"/>
  <c r="I7" i="1"/>
  <c r="H7" i="1"/>
  <c r="H18" i="1"/>
  <c r="H6" i="1"/>
  <c r="I6" i="1"/>
  <c r="J6" i="1" s="1"/>
  <c r="H10" i="1"/>
  <c r="I10" i="1"/>
  <c r="H5" i="1"/>
  <c r="I5" i="1"/>
  <c r="J5" i="1" s="1"/>
  <c r="I34" i="1"/>
  <c r="H34" i="1"/>
  <c r="J34" i="1" s="1"/>
  <c r="I29" i="1"/>
  <c r="H29" i="1"/>
  <c r="I15" i="1"/>
  <c r="J15" i="1" s="1"/>
  <c r="H15" i="1"/>
  <c r="I12" i="1"/>
  <c r="H12" i="1"/>
  <c r="I33" i="1"/>
  <c r="H33" i="1"/>
  <c r="I32" i="1"/>
  <c r="H32" i="1"/>
  <c r="I23" i="1"/>
  <c r="J23" i="1" s="1"/>
  <c r="H23" i="1"/>
  <c r="I30" i="1"/>
  <c r="H30" i="1"/>
  <c r="I13" i="1"/>
  <c r="J13" i="1" s="1"/>
  <c r="H13" i="1"/>
  <c r="J39" i="1"/>
  <c r="I39" i="1"/>
  <c r="H39" i="1"/>
  <c r="I17" i="1"/>
  <c r="H17" i="1"/>
  <c r="I18" i="1"/>
  <c r="J18" i="1" s="1"/>
  <c r="I35" i="1"/>
  <c r="J35" i="1" s="1"/>
  <c r="H35" i="1"/>
  <c r="I26" i="1"/>
  <c r="J26" i="1" s="1"/>
  <c r="H26" i="1"/>
  <c r="I16" i="1"/>
  <c r="H16" i="1"/>
  <c r="I38" i="1"/>
  <c r="H38" i="1"/>
  <c r="I24" i="1"/>
  <c r="H24" i="1"/>
  <c r="I42" i="1"/>
  <c r="J42" i="1" s="1"/>
  <c r="H42" i="1"/>
  <c r="I28" i="1"/>
  <c r="H28" i="1"/>
  <c r="I11" i="1"/>
  <c r="J11" i="1" s="1"/>
  <c r="H11" i="1"/>
  <c r="J40" i="1"/>
  <c r="I40" i="1"/>
  <c r="H40" i="1"/>
  <c r="J32" i="1" l="1"/>
  <c r="J29" i="1"/>
  <c r="J28" i="1"/>
  <c r="J17" i="1"/>
  <c r="J12" i="1"/>
  <c r="J7" i="1"/>
  <c r="J24" i="1"/>
  <c r="J38" i="1"/>
  <c r="J16" i="1"/>
  <c r="J30" i="1"/>
  <c r="J10" i="1"/>
  <c r="J33" i="1"/>
  <c r="J21" i="1"/>
  <c r="J37" i="1"/>
  <c r="I25" i="1"/>
  <c r="J25" i="1" s="1"/>
  <c r="H25" i="1"/>
  <c r="I21" i="1"/>
  <c r="H21" i="1"/>
  <c r="I37" i="1"/>
  <c r="H37" i="1"/>
  <c r="H19" i="1"/>
  <c r="I19" i="1" l="1"/>
  <c r="J19" i="1" s="1"/>
</calcChain>
</file>

<file path=xl/sharedStrings.xml><?xml version="1.0" encoding="utf-8"?>
<sst xmlns="http://schemas.openxmlformats.org/spreadsheetml/2006/main" count="137" uniqueCount="124">
  <si>
    <t>County</t>
  </si>
  <si>
    <t>Capital Project Name</t>
  </si>
  <si>
    <t>Capital Project Status</t>
  </si>
  <si>
    <t>Alameda</t>
  </si>
  <si>
    <t>Construction began in August 2014 and is scheduled to end in first quarter of 2017</t>
  </si>
  <si>
    <t>El Dorado</t>
  </si>
  <si>
    <t>In site acquisition; site acquisition and preliminary plans reappropriated in FY 2015–2016; working drawings requested in FY 2016–2017</t>
  </si>
  <si>
    <t>Glenn</t>
  </si>
  <si>
    <t>In working drawings; construction to start in FY 2015–2016 and is scheduled to end in fourth quarter of 2017</t>
  </si>
  <si>
    <t>Imperial</t>
  </si>
  <si>
    <t>In working drawings; construction requested in FY 2016–2017</t>
  </si>
  <si>
    <t>Inyo</t>
  </si>
  <si>
    <t>In site acquisition; site acquisition and preliminary plans reappropriated in FY 2015–2016</t>
  </si>
  <si>
    <t>Kings</t>
  </si>
  <si>
    <t>Construction began in August 2013 and is scheduled to complete in fourth quarter of 2015</t>
  </si>
  <si>
    <t>Lake</t>
  </si>
  <si>
    <t>In working drawings; start construction in FY 2016–2017</t>
  </si>
  <si>
    <t>Los Angeles</t>
  </si>
  <si>
    <t>In site acquisition; site acquisition reappropriated in FY 2015–2016</t>
  </si>
  <si>
    <t>Design/Build project to be submitted for FY 2016–2017 funding</t>
  </si>
  <si>
    <t>Mendocino</t>
  </si>
  <si>
    <t>In site acquisition; design to start in FY 2015–2016 and working drawings requested in FY 2016–2017</t>
  </si>
  <si>
    <t>Merced</t>
  </si>
  <si>
    <t>Construction began in May 2015 and is scheduled to complete in third quarter of 2016</t>
  </si>
  <si>
    <t>Riverside</t>
  </si>
  <si>
    <t>In design; site acquisition and preliminary plans reappropriated in FY 2015–2016; working drawings requested in FY 2016–2017</t>
  </si>
  <si>
    <t>Sacramento</t>
  </si>
  <si>
    <t>San Diego</t>
  </si>
  <si>
    <t>Construction began in December 2013 and is scheduled to end in fourth quarter of 2016</t>
  </si>
  <si>
    <t>San Joaquin</t>
  </si>
  <si>
    <t>Construction began in June 2014 and is scheduled to end in fourth quarter of 2016</t>
  </si>
  <si>
    <t>Santa Barbara</t>
  </si>
  <si>
    <t>In design; proceed with working drawings and demolition of existing structures on new courthouse site (using construction phase funding of $0.400 million) in FY 2015–2016</t>
  </si>
  <si>
    <t>Santa Clara</t>
  </si>
  <si>
    <t>Construction began in August 2013 and is scheduled to end in first quarter of 2016</t>
  </si>
  <si>
    <t>Shasta</t>
  </si>
  <si>
    <t>In preliminary design; proceed with working drawings and demolition of existing structures on new courthouse site (using construction phase funding of $0.174 million) in FY 2015–2016; construction requested in FY 2017–2018</t>
  </si>
  <si>
    <t>Siskiyou</t>
  </si>
  <si>
    <t>In working drawings; start construction in FY 2015–2016</t>
  </si>
  <si>
    <t>Sonoma</t>
  </si>
  <si>
    <t>In design; proceed with working drawings in FY 2017–2018</t>
  </si>
  <si>
    <t>Stanislaus</t>
  </si>
  <si>
    <t>Design to begin FY 2015–2016; working drawings requested in FY 2016–2017</t>
  </si>
  <si>
    <t>Sutter</t>
  </si>
  <si>
    <t>Tehama</t>
  </si>
  <si>
    <t>Construction began in December 2014 and is scheduled to complete in third quarter of 2016</t>
  </si>
  <si>
    <t>Tuolumne</t>
  </si>
  <si>
    <t>In design; proceed with working drawings in FY 2015–2016; construction requested in FY 2017–2018</t>
  </si>
  <si>
    <t>Indefinitely-Delayed Capital Project Status</t>
  </si>
  <si>
    <t>Kern</t>
  </si>
  <si>
    <t>Monterey</t>
  </si>
  <si>
    <t>Nevada</t>
  </si>
  <si>
    <t>Placer</t>
  </si>
  <si>
    <t>Plumas</t>
  </si>
  <si>
    <r>
      <rPr>
        <u/>
        <sz val="10"/>
        <color rgb="FF0000FF"/>
        <rFont val="Times New Roman"/>
        <family val="1"/>
      </rPr>
      <t>New East County Courthouse</t>
    </r>
  </si>
  <si>
    <r>
      <rPr>
        <u/>
        <sz val="10"/>
        <color rgb="FF0000FF"/>
        <rFont val="Times New Roman"/>
        <family val="1"/>
      </rPr>
      <t>New Placerville Courthouse</t>
    </r>
  </si>
  <si>
    <r>
      <rPr>
        <u/>
        <sz val="10"/>
        <color rgb="FF0000FF"/>
        <rFont val="Times New Roman"/>
        <family val="1"/>
      </rPr>
      <t>Renovate and Addition to Willows Courthouse</t>
    </r>
  </si>
  <si>
    <r>
      <rPr>
        <u/>
        <sz val="10"/>
        <color rgb="FF0000FF"/>
        <rFont val="Times New Roman"/>
        <family val="1"/>
      </rPr>
      <t>New El Centro Courthouse</t>
    </r>
  </si>
  <si>
    <r>
      <rPr>
        <u/>
        <sz val="10"/>
        <color rgb="FF0000FF"/>
        <rFont val="Times New Roman"/>
        <family val="1"/>
      </rPr>
      <t>New Inyo County Courthouse</t>
    </r>
  </si>
  <si>
    <r>
      <rPr>
        <u/>
        <sz val="10"/>
        <color rgb="FF0000FF"/>
        <rFont val="Times New Roman"/>
        <family val="1"/>
      </rPr>
      <t>New Hanford Courthouse</t>
    </r>
  </si>
  <si>
    <r>
      <rPr>
        <u/>
        <sz val="10"/>
        <color rgb="FF0000FF"/>
        <rFont val="Times New Roman"/>
        <family val="1"/>
      </rPr>
      <t>New Lakeport Courthouse</t>
    </r>
  </si>
  <si>
    <r>
      <rPr>
        <u/>
        <sz val="10"/>
        <color rgb="FF0000FF"/>
        <rFont val="Times New Roman"/>
        <family val="1"/>
      </rPr>
      <t>Hollywood Courthouse</t>
    </r>
  </si>
  <si>
    <r>
      <rPr>
        <u/>
        <sz val="10"/>
        <color rgb="FF0000FF"/>
        <rFont val="Times New Roman"/>
        <family val="1"/>
      </rPr>
      <t>New Ukiah Courthouse</t>
    </r>
  </si>
  <si>
    <r>
      <rPr>
        <u/>
        <sz val="10"/>
        <color rgb="FF0000FF"/>
        <rFont val="Times New Roman"/>
        <family val="1"/>
      </rPr>
      <t>New Los Banos Courthouse</t>
    </r>
  </si>
  <si>
    <r>
      <rPr>
        <u/>
        <sz val="10"/>
        <color rgb="FF0000FF"/>
        <rFont val="Times New Roman"/>
        <family val="1"/>
      </rPr>
      <t>New Sacramento Criminal Courthouse</t>
    </r>
  </si>
  <si>
    <r>
      <rPr>
        <u/>
        <sz val="10"/>
        <color rgb="FF0000FF"/>
        <rFont val="Times New Roman"/>
        <family val="1"/>
      </rPr>
      <t>New Central San Diego Courthouse</t>
    </r>
  </si>
  <si>
    <r>
      <rPr>
        <u/>
        <sz val="10"/>
        <color rgb="FF0000FF"/>
        <rFont val="Times New Roman"/>
        <family val="1"/>
      </rPr>
      <t>New Stockton Courthouse</t>
    </r>
  </si>
  <si>
    <r>
      <rPr>
        <u/>
        <sz val="10"/>
        <color rgb="FF0000FF"/>
        <rFont val="Times New Roman"/>
        <family val="1"/>
      </rPr>
      <t>New Redding Courthouse</t>
    </r>
  </si>
  <si>
    <r>
      <rPr>
        <u/>
        <sz val="10"/>
        <color rgb="FF0000FF"/>
        <rFont val="Times New Roman"/>
        <family val="1"/>
      </rPr>
      <t>New Yreka Courthouse</t>
    </r>
  </si>
  <si>
    <r>
      <rPr>
        <u/>
        <sz val="10"/>
        <color rgb="FF0000FF"/>
        <rFont val="Times New Roman"/>
        <family val="1"/>
      </rPr>
      <t>New Santa Rosa Criminal Courthouse</t>
    </r>
  </si>
  <si>
    <r>
      <rPr>
        <u/>
        <sz val="10"/>
        <color rgb="FF0000FF"/>
        <rFont val="Times New Roman"/>
        <family val="1"/>
      </rPr>
      <t>New Modesto Courthouse</t>
    </r>
  </si>
  <si>
    <r>
      <rPr>
        <u/>
        <sz val="10"/>
        <color rgb="FF0000FF"/>
        <rFont val="Times New Roman"/>
        <family val="1"/>
      </rPr>
      <t>New Yuba City Courthouse</t>
    </r>
  </si>
  <si>
    <r>
      <rPr>
        <u/>
        <sz val="10"/>
        <color rgb="FF0000FF"/>
        <rFont val="Times New Roman"/>
        <family val="1"/>
      </rPr>
      <t>New Sonora Courthouse</t>
    </r>
  </si>
  <si>
    <r>
      <rPr>
        <u/>
        <sz val="10"/>
        <color rgb="FF0000FF"/>
        <rFont val="Times New Roman"/>
        <family val="1"/>
      </rPr>
      <t>New Delano Courthouse</t>
    </r>
  </si>
  <si>
    <r>
      <rPr>
        <u/>
        <sz val="10"/>
        <color rgb="FF0000FF"/>
        <rFont val="Times New Roman"/>
        <family val="1"/>
      </rPr>
      <t>New Mojave Courthouse</t>
    </r>
  </si>
  <si>
    <r>
      <rPr>
        <u/>
        <sz val="10"/>
        <color rgb="FF0000FF"/>
        <rFont val="Times New Roman"/>
        <family val="1"/>
      </rPr>
      <t>New Glendale Courthouse</t>
    </r>
  </si>
  <si>
    <r>
      <rPr>
        <u/>
        <sz val="10"/>
        <color rgb="FF0000FF"/>
        <rFont val="Times New Roman"/>
        <family val="1"/>
      </rPr>
      <t>New Santa Clarita Courthouse</t>
    </r>
  </si>
  <si>
    <r>
      <rPr>
        <u/>
        <sz val="10"/>
        <color rgb="FF0000FF"/>
        <rFont val="Times New Roman"/>
        <family val="1"/>
      </rPr>
      <t>New Southeast Los Angeles Courthouse</t>
    </r>
  </si>
  <si>
    <r>
      <rPr>
        <u/>
        <sz val="10"/>
        <color rgb="FF0000FF"/>
        <rFont val="Times New Roman"/>
        <family val="1"/>
      </rPr>
      <t>New South Monterey County Courthouse</t>
    </r>
  </si>
  <si>
    <r>
      <rPr>
        <u/>
        <sz val="10"/>
        <color rgb="FF0000FF"/>
        <rFont val="Times New Roman"/>
        <family val="1"/>
      </rPr>
      <t>New Nevada City Courthouse</t>
    </r>
  </si>
  <si>
    <r>
      <rPr>
        <u/>
        <sz val="10"/>
        <color rgb="FF0000FF"/>
        <rFont val="Times New Roman"/>
        <family val="1"/>
      </rPr>
      <t>New Tahoe Area Courthouse</t>
    </r>
  </si>
  <si>
    <r>
      <rPr>
        <u/>
        <sz val="10"/>
        <color rgb="FF0000FF"/>
        <rFont val="Times New Roman"/>
        <family val="1"/>
      </rPr>
      <t>New Quincy Courthouse</t>
    </r>
  </si>
  <si>
    <t>Fresno</t>
  </si>
  <si>
    <t>Renovate Fresno County Courthouse</t>
  </si>
  <si>
    <t>Indefinitely delayed as of Judicial Council Meetings on October 26, 2012,
and January 17, 2013.</t>
  </si>
  <si>
    <t>Construction Duration Days</t>
  </si>
  <si>
    <t>New Eastlake Juvenile Courthouse</t>
  </si>
  <si>
    <t>New Indio Juvenile and Family Courthouse</t>
  </si>
  <si>
    <t>New Mid-County Civil Courthouse</t>
  </si>
  <si>
    <t>New Santa Barbara Criminal Courthouse</t>
  </si>
  <si>
    <t>New Santa Clara Family Justice Center</t>
  </si>
  <si>
    <t>Courtroom
Count</t>
  </si>
  <si>
    <t>Building
Area SF</t>
  </si>
  <si>
    <t>Total
Project Cost</t>
  </si>
  <si>
    <t>Construction
Start</t>
  </si>
  <si>
    <t>Construction
Finish</t>
  </si>
  <si>
    <t>New Red Bluff Courthouse</t>
  </si>
  <si>
    <t>Butte</t>
  </si>
  <si>
    <t>Madera</t>
  </si>
  <si>
    <t>Yolo</t>
  </si>
  <si>
    <t>New Chico Courthouse</t>
  </si>
  <si>
    <t xml:space="preserve">New Madera County Courthouse </t>
  </si>
  <si>
    <t>New Banning Justice Center</t>
  </si>
  <si>
    <t>Renovate and Addition to Juvenile Justice Center</t>
  </si>
  <si>
    <t>New Woodland Courthouse</t>
  </si>
  <si>
    <t>Construction completed in first quarter of 2015</t>
  </si>
  <si>
    <t>Construction completed in third quarter of 2015</t>
  </si>
  <si>
    <t>Construction completed in second quarter of 2015.</t>
  </si>
  <si>
    <t>Construction completed in second quarter of 2015. One courtroom was added to two existing courtrooms for a total of three.</t>
  </si>
  <si>
    <r>
      <t xml:space="preserve">Completed in FY 2014-2015 </t>
    </r>
    <r>
      <rPr>
        <b/>
        <sz val="10"/>
        <rFont val="Calibri"/>
        <family val="2"/>
      </rPr>
      <t>–</t>
    </r>
    <r>
      <rPr>
        <b/>
        <sz val="10"/>
        <rFont val="Times New Roman"/>
        <family val="1"/>
      </rPr>
      <t xml:space="preserve"> Totals</t>
    </r>
  </si>
  <si>
    <r>
      <t xml:space="preserve">Completed in FY 2015-2016 </t>
    </r>
    <r>
      <rPr>
        <b/>
        <sz val="10"/>
        <rFont val="Calibri"/>
        <family val="2"/>
      </rPr>
      <t>–</t>
    </r>
    <r>
      <rPr>
        <b/>
        <sz val="10"/>
        <rFont val="Times New Roman"/>
        <family val="1"/>
      </rPr>
      <t xml:space="preserve"> Totals</t>
    </r>
  </si>
  <si>
    <r>
      <t xml:space="preserve">To Be Completed in FY 2016-2017 </t>
    </r>
    <r>
      <rPr>
        <b/>
        <sz val="10"/>
        <rFont val="Calibri"/>
        <family val="2"/>
      </rPr>
      <t>–</t>
    </r>
    <r>
      <rPr>
        <b/>
        <sz val="10"/>
        <rFont val="Times New Roman"/>
        <family val="1"/>
      </rPr>
      <t xml:space="preserve"> Totals</t>
    </r>
  </si>
  <si>
    <r>
      <t xml:space="preserve">To Be Completed in FY 2017-2018 </t>
    </r>
    <r>
      <rPr>
        <b/>
        <sz val="10"/>
        <rFont val="Calibri"/>
        <family val="2"/>
      </rPr>
      <t>–</t>
    </r>
    <r>
      <rPr>
        <b/>
        <sz val="10"/>
        <rFont val="Times New Roman"/>
        <family val="1"/>
      </rPr>
      <t xml:space="preserve"> Totals</t>
    </r>
  </si>
  <si>
    <r>
      <t xml:space="preserve">To Be Completed in FY 2018-2019 </t>
    </r>
    <r>
      <rPr>
        <b/>
        <sz val="10"/>
        <rFont val="Calibri"/>
        <family val="2"/>
      </rPr>
      <t>–</t>
    </r>
    <r>
      <rPr>
        <b/>
        <sz val="10"/>
        <rFont val="Times New Roman"/>
        <family val="1"/>
      </rPr>
      <t xml:space="preserve"> Totals</t>
    </r>
  </si>
  <si>
    <r>
      <t xml:space="preserve">To Be Completed in FY 2019-2020 </t>
    </r>
    <r>
      <rPr>
        <b/>
        <sz val="10"/>
        <rFont val="Calibri"/>
        <family val="2"/>
      </rPr>
      <t>–</t>
    </r>
    <r>
      <rPr>
        <b/>
        <sz val="10"/>
        <rFont val="Times New Roman"/>
        <family val="1"/>
      </rPr>
      <t xml:space="preserve"> Totals</t>
    </r>
  </si>
  <si>
    <r>
      <t xml:space="preserve">To Be Completed in FY 2020-2021 </t>
    </r>
    <r>
      <rPr>
        <b/>
        <sz val="10"/>
        <rFont val="Calibri"/>
        <family val="2"/>
      </rPr>
      <t>–</t>
    </r>
    <r>
      <rPr>
        <b/>
        <sz val="10"/>
        <rFont val="Times New Roman"/>
        <family val="1"/>
      </rPr>
      <t xml:space="preserve"> Totals</t>
    </r>
  </si>
  <si>
    <r>
      <t xml:space="preserve">To Be Completed in FY 2021-2022 </t>
    </r>
    <r>
      <rPr>
        <b/>
        <sz val="10"/>
        <rFont val="Calibri"/>
        <family val="2"/>
      </rPr>
      <t>–</t>
    </r>
    <r>
      <rPr>
        <b/>
        <sz val="10"/>
        <rFont val="Times New Roman"/>
        <family val="1"/>
      </rPr>
      <t xml:space="preserve"> Totals</t>
    </r>
  </si>
  <si>
    <r>
      <t xml:space="preserve">To Be Completed in FY 2022-2023 </t>
    </r>
    <r>
      <rPr>
        <b/>
        <sz val="10"/>
        <rFont val="Calibri"/>
        <family val="2"/>
      </rPr>
      <t>–</t>
    </r>
    <r>
      <rPr>
        <b/>
        <sz val="10"/>
        <rFont val="Times New Roman"/>
        <family val="1"/>
      </rPr>
      <t xml:space="preserve"> Totals</t>
    </r>
  </si>
  <si>
    <t>JCC Capital Program Totals FY 2014-2015 through FY 2022-2023</t>
  </si>
  <si>
    <t>Judicial Council of California</t>
  </si>
  <si>
    <t>Capital Program Summary</t>
  </si>
  <si>
    <t>Author: Paul Menard</t>
  </si>
  <si>
    <t>In preliminary design; proceed with preliminary plans and working drawings using one-time funds authorized by AB 1476. The construction phase has not yet been funded.</t>
  </si>
  <si>
    <t>Indefinitely Delayed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</si>
</sst>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###0;###0"/>
    <numFmt numFmtId="165" formatCode="_(&quot;$&quot;* #,##0_);_(&quot;$&quot;* \(#,##0\);_(&quot;$&quot;* &quot;-&quot;??_);_(@_)"/>
  </numFmts>
  <fonts count="11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color rgb="FF0000FF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Calibri"/>
      <family val="2"/>
    </font>
    <font>
      <sz val="18"/>
      <color rgb="FF000000"/>
      <name val="Times New Roman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1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/>
    </xf>
    <xf numFmtId="165" fontId="3" fillId="0" borderId="0" xfId="1" applyNumberFormat="1" applyFont="1" applyFill="1" applyBorder="1" applyAlignment="1">
      <alignment horizontal="right" vertical="top"/>
    </xf>
    <xf numFmtId="165" fontId="3" fillId="0" borderId="0" xfId="0" applyNumberFormat="1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/>
    </xf>
    <xf numFmtId="3" fontId="3" fillId="0" borderId="2" xfId="0" applyNumberFormat="1" applyFont="1" applyFill="1" applyBorder="1" applyAlignment="1">
      <alignment horizontal="right" vertical="top"/>
    </xf>
    <xf numFmtId="165" fontId="3" fillId="0" borderId="2" xfId="1" applyNumberFormat="1" applyFont="1" applyFill="1" applyBorder="1" applyAlignment="1">
      <alignment horizontal="right" vertical="top"/>
    </xf>
    <xf numFmtId="14" fontId="3" fillId="0" borderId="2" xfId="0" applyNumberFormat="1" applyFont="1" applyFill="1" applyBorder="1" applyAlignment="1">
      <alignment horizontal="center" vertical="top"/>
    </xf>
    <xf numFmtId="3" fontId="3" fillId="0" borderId="2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left" vertical="top" wrapText="1"/>
    </xf>
    <xf numFmtId="0" fontId="2" fillId="0" borderId="3" xfId="2" applyFill="1" applyBorder="1" applyAlignment="1">
      <alignment horizontal="left" vertical="top" wrapText="1"/>
    </xf>
    <xf numFmtId="0" fontId="2" fillId="0" borderId="2" xfId="2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2" fillId="0" borderId="5" xfId="2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/>
    </xf>
    <xf numFmtId="3" fontId="3" fillId="0" borderId="5" xfId="0" applyNumberFormat="1" applyFont="1" applyFill="1" applyBorder="1" applyAlignment="1">
      <alignment horizontal="right" vertical="top"/>
    </xf>
    <xf numFmtId="165" fontId="3" fillId="0" borderId="5" xfId="1" applyNumberFormat="1" applyFont="1" applyFill="1" applyBorder="1" applyAlignment="1">
      <alignment horizontal="right" vertical="top"/>
    </xf>
    <xf numFmtId="14" fontId="3" fillId="0" borderId="5" xfId="0" applyNumberFormat="1" applyFont="1" applyFill="1" applyBorder="1" applyAlignment="1">
      <alignment horizontal="center" vertical="top"/>
    </xf>
    <xf numFmtId="3" fontId="3" fillId="0" borderId="5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left" vertical="top"/>
    </xf>
    <xf numFmtId="0" fontId="2" fillId="0" borderId="6" xfId="2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/>
    </xf>
    <xf numFmtId="3" fontId="3" fillId="0" borderId="6" xfId="0" applyNumberFormat="1" applyFont="1" applyFill="1" applyBorder="1" applyAlignment="1">
      <alignment horizontal="right" vertical="top"/>
    </xf>
    <xf numFmtId="165" fontId="3" fillId="0" borderId="6" xfId="1" applyNumberFormat="1" applyFont="1" applyFill="1" applyBorder="1" applyAlignment="1">
      <alignment horizontal="right" vertical="top"/>
    </xf>
    <xf numFmtId="14" fontId="3" fillId="0" borderId="6" xfId="0" applyNumberFormat="1" applyFont="1" applyFill="1" applyBorder="1" applyAlignment="1">
      <alignment horizontal="center" vertical="top"/>
    </xf>
    <xf numFmtId="3" fontId="3" fillId="0" borderId="6" xfId="0" applyNumberFormat="1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left" vertical="top" wrapText="1"/>
    </xf>
    <xf numFmtId="0" fontId="2" fillId="3" borderId="4" xfId="2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center" vertical="top"/>
    </xf>
    <xf numFmtId="3" fontId="7" fillId="3" borderId="4" xfId="0" applyNumberFormat="1" applyFont="1" applyFill="1" applyBorder="1" applyAlignment="1">
      <alignment horizontal="right" vertical="top"/>
    </xf>
    <xf numFmtId="165" fontId="7" fillId="3" borderId="4" xfId="1" applyNumberFormat="1" applyFont="1" applyFill="1" applyBorder="1" applyAlignment="1">
      <alignment horizontal="right" vertical="top"/>
    </xf>
    <xf numFmtId="14" fontId="3" fillId="3" borderId="4" xfId="0" applyNumberFormat="1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left" vertical="top" wrapText="1"/>
    </xf>
    <xf numFmtId="0" fontId="2" fillId="0" borderId="6" xfId="2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right" vertical="top" wrapText="1"/>
    </xf>
    <xf numFmtId="0" fontId="7" fillId="3" borderId="8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left" vertical="top" wrapText="1"/>
    </xf>
    <xf numFmtId="3" fontId="3" fillId="3" borderId="8" xfId="0" applyNumberFormat="1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/>
    </xf>
    <xf numFmtId="3" fontId="3" fillId="0" borderId="9" xfId="0" applyNumberFormat="1" applyFont="1" applyFill="1" applyBorder="1" applyAlignment="1">
      <alignment horizontal="right" vertical="top"/>
    </xf>
    <xf numFmtId="165" fontId="3" fillId="0" borderId="9" xfId="1" applyNumberFormat="1" applyFont="1" applyFill="1" applyBorder="1" applyAlignment="1">
      <alignment horizontal="right" vertical="top"/>
    </xf>
    <xf numFmtId="14" fontId="3" fillId="0" borderId="9" xfId="0" applyNumberFormat="1" applyFont="1" applyFill="1" applyBorder="1" applyAlignment="1">
      <alignment horizontal="center" vertical="top"/>
    </xf>
    <xf numFmtId="3" fontId="3" fillId="0" borderId="9" xfId="0" applyNumberFormat="1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3" fontId="7" fillId="4" borderId="13" xfId="0" applyNumberFormat="1" applyFont="1" applyFill="1" applyBorder="1" applyAlignment="1">
      <alignment horizontal="right" vertical="top"/>
    </xf>
    <xf numFmtId="165" fontId="7" fillId="4" borderId="13" xfId="1" applyNumberFormat="1" applyFont="1" applyFill="1" applyBorder="1" applyAlignment="1">
      <alignment horizontal="right" vertical="top"/>
    </xf>
    <xf numFmtId="0" fontId="3" fillId="4" borderId="14" xfId="0" applyFont="1" applyFill="1" applyBorder="1" applyAlignment="1">
      <alignment horizontal="left" vertical="top"/>
    </xf>
    <xf numFmtId="0" fontId="3" fillId="4" borderId="13" xfId="0" applyFont="1" applyFill="1" applyBorder="1" applyAlignment="1">
      <alignment horizontal="left" vertical="top"/>
    </xf>
    <xf numFmtId="0" fontId="7" fillId="4" borderId="13" xfId="0" applyFont="1" applyFill="1" applyBorder="1" applyAlignment="1">
      <alignment horizontal="center" vertical="top"/>
    </xf>
    <xf numFmtId="0" fontId="3" fillId="4" borderId="13" xfId="0" applyFont="1" applyFill="1" applyBorder="1" applyAlignment="1">
      <alignment horizontal="center" vertical="top"/>
    </xf>
    <xf numFmtId="0" fontId="3" fillId="4" borderId="15" xfId="0" applyFont="1" applyFill="1" applyBorder="1" applyAlignment="1">
      <alignment horizontal="center" vertical="top"/>
    </xf>
    <xf numFmtId="0" fontId="7" fillId="4" borderId="13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4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3" fillId="3" borderId="16" xfId="0" applyFont="1" applyFill="1" applyBorder="1" applyAlignment="1">
      <alignment horizontal="left" vertical="top"/>
    </xf>
    <xf numFmtId="0" fontId="3" fillId="3" borderId="17" xfId="0" applyFont="1" applyFill="1" applyBorder="1" applyAlignment="1">
      <alignment horizontal="left" vertical="top"/>
    </xf>
    <xf numFmtId="0" fontId="4" fillId="3" borderId="17" xfId="0" applyFont="1" applyFill="1" applyBorder="1" applyAlignment="1">
      <alignment horizontal="right" vertical="top" wrapText="1"/>
    </xf>
    <xf numFmtId="0" fontId="7" fillId="3" borderId="17" xfId="0" applyFont="1" applyFill="1" applyBorder="1" applyAlignment="1">
      <alignment horizontal="center" vertical="top"/>
    </xf>
    <xf numFmtId="3" fontId="7" fillId="3" borderId="17" xfId="0" applyNumberFormat="1" applyFont="1" applyFill="1" applyBorder="1" applyAlignment="1">
      <alignment horizontal="right" vertical="top"/>
    </xf>
    <xf numFmtId="165" fontId="7" fillId="3" borderId="17" xfId="1" applyNumberFormat="1" applyFont="1" applyFill="1" applyBorder="1" applyAlignment="1">
      <alignment horizontal="right" vertical="top"/>
    </xf>
    <xf numFmtId="0" fontId="3" fillId="3" borderId="17" xfId="0" applyFont="1" applyFill="1" applyBorder="1" applyAlignment="1">
      <alignment horizontal="center" vertical="top"/>
    </xf>
    <xf numFmtId="3" fontId="3" fillId="3" borderId="18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2" fillId="0" borderId="1" xfId="2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urts.ca.gov/facilities-la-eastlake.htm" TargetMode="External"/><Relationship Id="rId13" Type="http://schemas.openxmlformats.org/officeDocument/2006/relationships/hyperlink" Target="http://www.courts.ca.gov/facilities-riverside-hemet.htm" TargetMode="External"/><Relationship Id="rId18" Type="http://schemas.openxmlformats.org/officeDocument/2006/relationships/hyperlink" Target="http://www.courts.ca.gov/facilities-shasta.htm" TargetMode="External"/><Relationship Id="rId26" Type="http://schemas.openxmlformats.org/officeDocument/2006/relationships/hyperlink" Target="http://www.courts.ca.gov/facilities-kern-mojave.htm" TargetMode="External"/><Relationship Id="rId39" Type="http://schemas.openxmlformats.org/officeDocument/2006/relationships/hyperlink" Target="http://www.courts.ca.gov/facilities-madera.htm" TargetMode="External"/><Relationship Id="rId3" Type="http://schemas.openxmlformats.org/officeDocument/2006/relationships/hyperlink" Target="http://www.courts.ca.gov/facilities-glenn.htm" TargetMode="External"/><Relationship Id="rId21" Type="http://schemas.openxmlformats.org/officeDocument/2006/relationships/hyperlink" Target="http://www.courts.ca.gov/facilities-stanislaus.htm" TargetMode="External"/><Relationship Id="rId34" Type="http://schemas.openxmlformats.org/officeDocument/2006/relationships/hyperlink" Target="http://www.courts.ca.gov/facilities-fresno-renovate.htm" TargetMode="External"/><Relationship Id="rId42" Type="http://schemas.openxmlformats.org/officeDocument/2006/relationships/hyperlink" Target="http://www.courts.ca.gov/facilities-madera.htm" TargetMode="External"/><Relationship Id="rId7" Type="http://schemas.openxmlformats.org/officeDocument/2006/relationships/hyperlink" Target="http://www.courts.ca.gov/facilities-lake.htm" TargetMode="External"/><Relationship Id="rId12" Type="http://schemas.openxmlformats.org/officeDocument/2006/relationships/hyperlink" Target="http://www.courts.ca.gov/facilities-riverside-indio.htm" TargetMode="External"/><Relationship Id="rId17" Type="http://schemas.openxmlformats.org/officeDocument/2006/relationships/hyperlink" Target="http://www.courts.ca.gov/facilities-santabarbara.htm" TargetMode="External"/><Relationship Id="rId25" Type="http://schemas.openxmlformats.org/officeDocument/2006/relationships/hyperlink" Target="http://www.courts.ca.gov/facilities-kern-delano.htm" TargetMode="External"/><Relationship Id="rId33" Type="http://schemas.openxmlformats.org/officeDocument/2006/relationships/hyperlink" Target="http://www.courts.ca.gov/facilities-plumas-quincy.htm" TargetMode="External"/><Relationship Id="rId38" Type="http://schemas.openxmlformats.org/officeDocument/2006/relationships/hyperlink" Target="http://www.courts.ca.gov/facilities-butte.htm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://www.courts.ca.gov/facilities-eldorado.htm" TargetMode="External"/><Relationship Id="rId16" Type="http://schemas.openxmlformats.org/officeDocument/2006/relationships/hyperlink" Target="http://www.courts.ca.gov/facilities-sanjoaquin-stockton.htm" TargetMode="External"/><Relationship Id="rId20" Type="http://schemas.openxmlformats.org/officeDocument/2006/relationships/hyperlink" Target="http://www.courts.ca.gov/facilities-sonoma.htm" TargetMode="External"/><Relationship Id="rId29" Type="http://schemas.openxmlformats.org/officeDocument/2006/relationships/hyperlink" Target="http://www.courts.ca.gov/facilities-la-southeast.htm" TargetMode="External"/><Relationship Id="rId41" Type="http://schemas.openxmlformats.org/officeDocument/2006/relationships/hyperlink" Target="http://www.courts.ca.gov/facilities-butte.htm" TargetMode="External"/><Relationship Id="rId1" Type="http://schemas.openxmlformats.org/officeDocument/2006/relationships/hyperlink" Target="http://www.courts.ca.gov/facilities-alameda-dublin.htm" TargetMode="External"/><Relationship Id="rId6" Type="http://schemas.openxmlformats.org/officeDocument/2006/relationships/hyperlink" Target="http://www.courts.ca.gov/facilities-kings.htm" TargetMode="External"/><Relationship Id="rId11" Type="http://schemas.openxmlformats.org/officeDocument/2006/relationships/hyperlink" Target="http://www.courts.ca.gov/facilities-merced-losbanos.htm" TargetMode="External"/><Relationship Id="rId24" Type="http://schemas.openxmlformats.org/officeDocument/2006/relationships/hyperlink" Target="http://www.courts.ca.gov/facilities-tuolumne.htm" TargetMode="External"/><Relationship Id="rId32" Type="http://schemas.openxmlformats.org/officeDocument/2006/relationships/hyperlink" Target="http://www.courts.ca.gov/facilities-placer.htm" TargetMode="External"/><Relationship Id="rId37" Type="http://schemas.openxmlformats.org/officeDocument/2006/relationships/hyperlink" Target="http://www.courts.ca.gov/facilities-yolo.htm" TargetMode="External"/><Relationship Id="rId40" Type="http://schemas.openxmlformats.org/officeDocument/2006/relationships/hyperlink" Target="http://www.courts.ca.gov/facilities-sanjoaquin-jv.htm" TargetMode="External"/><Relationship Id="rId45" Type="http://schemas.openxmlformats.org/officeDocument/2006/relationships/hyperlink" Target="http://www.courts.ca.gov/facilities-yolo.htm" TargetMode="External"/><Relationship Id="rId5" Type="http://schemas.openxmlformats.org/officeDocument/2006/relationships/hyperlink" Target="http://www.courts.ca.gov/facilities-inyo.htm" TargetMode="External"/><Relationship Id="rId15" Type="http://schemas.openxmlformats.org/officeDocument/2006/relationships/hyperlink" Target="http://www.courts.ca.gov/facilities-sandiego.htm" TargetMode="External"/><Relationship Id="rId23" Type="http://schemas.openxmlformats.org/officeDocument/2006/relationships/hyperlink" Target="http://www.courts.ca.gov/facilities-tehama.htm" TargetMode="External"/><Relationship Id="rId28" Type="http://schemas.openxmlformats.org/officeDocument/2006/relationships/hyperlink" Target="http://www.courts.ca.gov/facilities-la-santaclarita.htm" TargetMode="External"/><Relationship Id="rId36" Type="http://schemas.openxmlformats.org/officeDocument/2006/relationships/hyperlink" Target="http://www.courts.ca.gov/facilities-santaclara.htm" TargetMode="External"/><Relationship Id="rId10" Type="http://schemas.openxmlformats.org/officeDocument/2006/relationships/hyperlink" Target="http://www.courts.ca.gov/facilities-mendocino.htm" TargetMode="External"/><Relationship Id="rId19" Type="http://schemas.openxmlformats.org/officeDocument/2006/relationships/hyperlink" Target="http://www.courts.ca.gov/facilities-siskiyou.htm" TargetMode="External"/><Relationship Id="rId31" Type="http://schemas.openxmlformats.org/officeDocument/2006/relationships/hyperlink" Target="http://www.courts.ca.gov/facilities-nevada.htm" TargetMode="External"/><Relationship Id="rId44" Type="http://schemas.openxmlformats.org/officeDocument/2006/relationships/hyperlink" Target="http://www.courts.ca.gov/facilities-sanjoaquin-jv.htm" TargetMode="External"/><Relationship Id="rId4" Type="http://schemas.openxmlformats.org/officeDocument/2006/relationships/hyperlink" Target="http://www.courts.ca.gov/facilities-imperial.htm" TargetMode="External"/><Relationship Id="rId9" Type="http://schemas.openxmlformats.org/officeDocument/2006/relationships/hyperlink" Target="http://www.courts.ca.gov/facilities-la-mentalhealth.htm" TargetMode="External"/><Relationship Id="rId14" Type="http://schemas.openxmlformats.org/officeDocument/2006/relationships/hyperlink" Target="http://www.courts.ca.gov/facilities-sacramento.htm" TargetMode="External"/><Relationship Id="rId22" Type="http://schemas.openxmlformats.org/officeDocument/2006/relationships/hyperlink" Target="http://www.courts.ca.gov/facilities-sutter.htm" TargetMode="External"/><Relationship Id="rId27" Type="http://schemas.openxmlformats.org/officeDocument/2006/relationships/hyperlink" Target="http://www.courts.ca.gov/facilities-la-glendale.htm" TargetMode="External"/><Relationship Id="rId30" Type="http://schemas.openxmlformats.org/officeDocument/2006/relationships/hyperlink" Target="http://www.courts.ca.gov/facilities-monterey.htm" TargetMode="External"/><Relationship Id="rId35" Type="http://schemas.openxmlformats.org/officeDocument/2006/relationships/hyperlink" Target="http://www.courts.ca.gov/facilities-santaclara.htm" TargetMode="External"/><Relationship Id="rId43" Type="http://schemas.openxmlformats.org/officeDocument/2006/relationships/hyperlink" Target="http://www.courts.ca.gov/facilities-riverside-midcounty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5" sqref="C5"/>
    </sheetView>
  </sheetViews>
  <sheetFormatPr defaultColWidth="9.33203125" defaultRowHeight="13.2" x14ac:dyDescent="0.25"/>
  <cols>
    <col min="1" max="1" width="5.77734375" style="1" customWidth="1"/>
    <col min="2" max="2" width="11.44140625" style="1" customWidth="1"/>
    <col min="3" max="3" width="46.6640625" style="1" bestFit="1" customWidth="1"/>
    <col min="4" max="4" width="75.77734375" style="1" customWidth="1"/>
    <col min="5" max="5" width="11.109375" style="1" bestFit="1" customWidth="1"/>
    <col min="6" max="6" width="10.33203125" style="1" bestFit="1" customWidth="1"/>
    <col min="7" max="7" width="17" style="1" bestFit="1" customWidth="1"/>
    <col min="8" max="9" width="13.77734375" style="1" customWidth="1"/>
    <col min="10" max="10" width="15.77734375" style="1" customWidth="1"/>
    <col min="11" max="16384" width="9.33203125" style="1"/>
  </cols>
  <sheetData>
    <row r="1" spans="1:10" ht="22.8" x14ac:dyDescent="0.3">
      <c r="B1" s="74" t="s">
        <v>119</v>
      </c>
      <c r="E1" s="75"/>
      <c r="J1" s="77" t="s">
        <v>121</v>
      </c>
    </row>
    <row r="2" spans="1:10" ht="22.8" x14ac:dyDescent="0.3">
      <c r="B2" s="74" t="s">
        <v>120</v>
      </c>
      <c r="J2" s="76">
        <f>DATE(2015,12,28)</f>
        <v>42366</v>
      </c>
    </row>
    <row r="3" spans="1:10" ht="13.8" thickBot="1" x14ac:dyDescent="0.3"/>
    <row r="4" spans="1:10" ht="27" thickBot="1" x14ac:dyDescent="0.3">
      <c r="B4" s="46" t="s">
        <v>0</v>
      </c>
      <c r="C4" s="47" t="s">
        <v>1</v>
      </c>
      <c r="D4" s="48" t="s">
        <v>2</v>
      </c>
      <c r="E4" s="49" t="s">
        <v>91</v>
      </c>
      <c r="F4" s="50" t="s">
        <v>92</v>
      </c>
      <c r="G4" s="50" t="s">
        <v>93</v>
      </c>
      <c r="H4" s="49" t="s">
        <v>94</v>
      </c>
      <c r="I4" s="49" t="s">
        <v>95</v>
      </c>
      <c r="J4" s="51" t="s">
        <v>85</v>
      </c>
    </row>
    <row r="5" spans="1:10" x14ac:dyDescent="0.25">
      <c r="A5" s="5">
        <v>1</v>
      </c>
      <c r="B5" s="44" t="s">
        <v>97</v>
      </c>
      <c r="C5" s="45" t="s">
        <v>100</v>
      </c>
      <c r="D5" s="44" t="s">
        <v>105</v>
      </c>
      <c r="E5" s="32">
        <v>5</v>
      </c>
      <c r="F5" s="33">
        <v>65096</v>
      </c>
      <c r="G5" s="34">
        <v>65064000</v>
      </c>
      <c r="H5" s="35">
        <f>DATE(2013,5,2)</f>
        <v>41396</v>
      </c>
      <c r="I5" s="35">
        <f>DATE(2015,3,31)</f>
        <v>42094</v>
      </c>
      <c r="J5" s="36">
        <f>I5-H5</f>
        <v>698</v>
      </c>
    </row>
    <row r="6" spans="1:10" x14ac:dyDescent="0.25">
      <c r="A6" s="5">
        <v>2</v>
      </c>
      <c r="B6" s="13" t="s">
        <v>24</v>
      </c>
      <c r="C6" s="20" t="s">
        <v>102</v>
      </c>
      <c r="D6" s="13" t="s">
        <v>107</v>
      </c>
      <c r="E6" s="14">
        <v>6</v>
      </c>
      <c r="F6" s="15">
        <v>68584</v>
      </c>
      <c r="G6" s="16">
        <v>63261000</v>
      </c>
      <c r="H6" s="17">
        <f>DATE(2012,3,20)</f>
        <v>40988</v>
      </c>
      <c r="I6" s="17">
        <f>DATE(2015,4,30)</f>
        <v>42124</v>
      </c>
      <c r="J6" s="18">
        <f>I6-H6</f>
        <v>1136</v>
      </c>
    </row>
    <row r="7" spans="1:10" ht="27" thickBot="1" x14ac:dyDescent="0.3">
      <c r="A7" s="5">
        <v>3</v>
      </c>
      <c r="B7" s="23" t="s">
        <v>29</v>
      </c>
      <c r="C7" s="24" t="s">
        <v>103</v>
      </c>
      <c r="D7" s="23" t="s">
        <v>108</v>
      </c>
      <c r="E7" s="25">
        <v>1</v>
      </c>
      <c r="F7" s="26">
        <v>3495</v>
      </c>
      <c r="G7" s="27">
        <v>3774000</v>
      </c>
      <c r="H7" s="28">
        <f>DATE(2014,4,1)</f>
        <v>41730</v>
      </c>
      <c r="I7" s="28">
        <f>DATE(2015,5,31)</f>
        <v>42155</v>
      </c>
      <c r="J7" s="29">
        <f>I7-H7</f>
        <v>425</v>
      </c>
    </row>
    <row r="8" spans="1:10" ht="18" customHeight="1" thickBot="1" x14ac:dyDescent="0.3">
      <c r="A8" s="5"/>
      <c r="B8" s="52"/>
      <c r="C8" s="38"/>
      <c r="D8" s="43" t="s">
        <v>109</v>
      </c>
      <c r="E8" s="39">
        <f>SUM(E5:E7)</f>
        <v>12</v>
      </c>
      <c r="F8" s="40">
        <f t="shared" ref="F8:G8" si="0">SUM(F5:F7)</f>
        <v>137175</v>
      </c>
      <c r="G8" s="41">
        <f t="shared" si="0"/>
        <v>132099000</v>
      </c>
      <c r="H8" s="42"/>
      <c r="I8" s="42"/>
      <c r="J8" s="53"/>
    </row>
    <row r="9" spans="1:10" x14ac:dyDescent="0.25">
      <c r="A9" s="5">
        <v>4</v>
      </c>
      <c r="B9" s="30" t="s">
        <v>99</v>
      </c>
      <c r="C9" s="31" t="s">
        <v>104</v>
      </c>
      <c r="D9" s="30" t="s">
        <v>106</v>
      </c>
      <c r="E9" s="32">
        <v>14</v>
      </c>
      <c r="F9" s="33">
        <v>163066</v>
      </c>
      <c r="G9" s="34">
        <v>161452000</v>
      </c>
      <c r="H9" s="35">
        <f>DATE(2013,4,15)</f>
        <v>41379</v>
      </c>
      <c r="I9" s="35">
        <f>DATE(2015,7,31)</f>
        <v>42216</v>
      </c>
      <c r="J9" s="36">
        <f>I9-H9</f>
        <v>837</v>
      </c>
    </row>
    <row r="10" spans="1:10" x14ac:dyDescent="0.25">
      <c r="A10" s="5">
        <v>5</v>
      </c>
      <c r="B10" s="13" t="s">
        <v>98</v>
      </c>
      <c r="C10" s="21" t="s">
        <v>101</v>
      </c>
      <c r="D10" s="13" t="s">
        <v>106</v>
      </c>
      <c r="E10" s="14">
        <v>10</v>
      </c>
      <c r="F10" s="15">
        <v>115804</v>
      </c>
      <c r="G10" s="16">
        <v>100208000</v>
      </c>
      <c r="H10" s="17">
        <f>DATE(2012,8,6)</f>
        <v>41127</v>
      </c>
      <c r="I10" s="17">
        <f>DATE(2015,9,30)</f>
        <v>42277</v>
      </c>
      <c r="J10" s="18">
        <f>I10-H10</f>
        <v>1150</v>
      </c>
    </row>
    <row r="11" spans="1:10" x14ac:dyDescent="0.25">
      <c r="A11" s="5">
        <v>6</v>
      </c>
      <c r="B11" s="13" t="s">
        <v>13</v>
      </c>
      <c r="C11" s="13" t="s">
        <v>59</v>
      </c>
      <c r="D11" s="13" t="s">
        <v>14</v>
      </c>
      <c r="E11" s="14">
        <v>12</v>
      </c>
      <c r="F11" s="15">
        <v>144460</v>
      </c>
      <c r="G11" s="16">
        <v>124329000</v>
      </c>
      <c r="H11" s="17">
        <f>DATE(2013,7,1)</f>
        <v>41456</v>
      </c>
      <c r="I11" s="17">
        <f>DATE(2015,12,24)</f>
        <v>42362</v>
      </c>
      <c r="J11" s="18">
        <f>I11-H11</f>
        <v>906</v>
      </c>
    </row>
    <row r="12" spans="1:10" x14ac:dyDescent="0.25">
      <c r="A12" s="5">
        <v>7</v>
      </c>
      <c r="B12" s="13" t="s">
        <v>43</v>
      </c>
      <c r="C12" s="13" t="s">
        <v>71</v>
      </c>
      <c r="D12" s="13" t="s">
        <v>14</v>
      </c>
      <c r="E12" s="14">
        <v>7</v>
      </c>
      <c r="F12" s="15">
        <v>73853</v>
      </c>
      <c r="G12" s="16">
        <v>65834000</v>
      </c>
      <c r="H12" s="17">
        <f>DATE(2013,7,1)</f>
        <v>41456</v>
      </c>
      <c r="I12" s="17">
        <f>DATE(2015,12,31)</f>
        <v>42369</v>
      </c>
      <c r="J12" s="18">
        <f>I12-H12</f>
        <v>913</v>
      </c>
    </row>
    <row r="13" spans="1:10" ht="13.8" thickBot="1" x14ac:dyDescent="0.3">
      <c r="A13" s="5">
        <v>8</v>
      </c>
      <c r="B13" s="23" t="s">
        <v>33</v>
      </c>
      <c r="C13" s="24" t="s">
        <v>90</v>
      </c>
      <c r="D13" s="23" t="s">
        <v>34</v>
      </c>
      <c r="E13" s="25">
        <v>20</v>
      </c>
      <c r="F13" s="26">
        <v>233906</v>
      </c>
      <c r="G13" s="27">
        <v>233267000</v>
      </c>
      <c r="H13" s="28">
        <f>DATE(2013,9,1)</f>
        <v>41518</v>
      </c>
      <c r="I13" s="28">
        <f>DATE(2016,4,30)</f>
        <v>42490</v>
      </c>
      <c r="J13" s="29">
        <f>I13-H13</f>
        <v>972</v>
      </c>
    </row>
    <row r="14" spans="1:10" ht="18" customHeight="1" thickBot="1" x14ac:dyDescent="0.3">
      <c r="A14" s="5"/>
      <c r="B14" s="52"/>
      <c r="C14" s="38"/>
      <c r="D14" s="43" t="s">
        <v>110</v>
      </c>
      <c r="E14" s="39">
        <f>SUM(E9:E13)</f>
        <v>63</v>
      </c>
      <c r="F14" s="40">
        <f t="shared" ref="F14:G14" si="1">SUM(F9:F13)</f>
        <v>731089</v>
      </c>
      <c r="G14" s="41">
        <f t="shared" si="1"/>
        <v>685090000</v>
      </c>
      <c r="H14" s="42"/>
      <c r="I14" s="42"/>
      <c r="J14" s="53"/>
    </row>
    <row r="15" spans="1:10" x14ac:dyDescent="0.25">
      <c r="A15" s="5">
        <v>9</v>
      </c>
      <c r="B15" s="44" t="s">
        <v>44</v>
      </c>
      <c r="C15" s="54" t="s">
        <v>96</v>
      </c>
      <c r="D15" s="44" t="s">
        <v>45</v>
      </c>
      <c r="E15" s="32">
        <v>5</v>
      </c>
      <c r="F15" s="33">
        <v>62033</v>
      </c>
      <c r="G15" s="34">
        <v>57822000</v>
      </c>
      <c r="H15" s="35">
        <f>DATE(2014,12,1)</f>
        <v>41974</v>
      </c>
      <c r="I15" s="35">
        <f>DATE(2016,9,30)</f>
        <v>42643</v>
      </c>
      <c r="J15" s="36">
        <f>I15-H15</f>
        <v>669</v>
      </c>
    </row>
    <row r="16" spans="1:10" x14ac:dyDescent="0.25">
      <c r="A16" s="5">
        <v>10</v>
      </c>
      <c r="B16" s="13" t="s">
        <v>22</v>
      </c>
      <c r="C16" s="13" t="s">
        <v>63</v>
      </c>
      <c r="D16" s="13" t="s">
        <v>23</v>
      </c>
      <c r="E16" s="14">
        <v>2</v>
      </c>
      <c r="F16" s="15">
        <v>29511</v>
      </c>
      <c r="G16" s="16">
        <v>26680000</v>
      </c>
      <c r="H16" s="17">
        <f>DATE(2015,6,1)</f>
        <v>42156</v>
      </c>
      <c r="I16" s="17">
        <f>DATE(2016,10,31)</f>
        <v>42674</v>
      </c>
      <c r="J16" s="18">
        <f>I16-H16</f>
        <v>518</v>
      </c>
    </row>
    <row r="17" spans="1:10" x14ac:dyDescent="0.25">
      <c r="A17" s="5">
        <v>11</v>
      </c>
      <c r="B17" s="13" t="s">
        <v>29</v>
      </c>
      <c r="C17" s="22" t="s">
        <v>66</v>
      </c>
      <c r="D17" s="13" t="s">
        <v>30</v>
      </c>
      <c r="E17" s="14">
        <v>30</v>
      </c>
      <c r="F17" s="15">
        <v>310443</v>
      </c>
      <c r="G17" s="16">
        <v>272939000</v>
      </c>
      <c r="H17" s="17">
        <f>DATE(2014,4,1)</f>
        <v>41730</v>
      </c>
      <c r="I17" s="17">
        <f>DATE(2016,12,31)</f>
        <v>42735</v>
      </c>
      <c r="J17" s="18">
        <f>I17-H17</f>
        <v>1005</v>
      </c>
    </row>
    <row r="18" spans="1:10" x14ac:dyDescent="0.25">
      <c r="A18" s="5">
        <v>12</v>
      </c>
      <c r="B18" s="13" t="s">
        <v>27</v>
      </c>
      <c r="C18" s="13" t="s">
        <v>65</v>
      </c>
      <c r="D18" s="13" t="s">
        <v>28</v>
      </c>
      <c r="E18" s="14">
        <v>71</v>
      </c>
      <c r="F18" s="15">
        <v>704000</v>
      </c>
      <c r="G18" s="16">
        <v>555499000</v>
      </c>
      <c r="H18" s="17">
        <f>DATE(2014,1,3)</f>
        <v>41642</v>
      </c>
      <c r="I18" s="17">
        <f>DATE(2017,5,30)</f>
        <v>42885</v>
      </c>
      <c r="J18" s="18">
        <f>I18-H18</f>
        <v>1243</v>
      </c>
    </row>
    <row r="19" spans="1:10" ht="13.8" thickBot="1" x14ac:dyDescent="0.3">
      <c r="A19" s="5">
        <v>13</v>
      </c>
      <c r="B19" s="23" t="s">
        <v>3</v>
      </c>
      <c r="C19" s="23" t="s">
        <v>54</v>
      </c>
      <c r="D19" s="23" t="s">
        <v>4</v>
      </c>
      <c r="E19" s="25">
        <v>13</v>
      </c>
      <c r="F19" s="26">
        <v>146435</v>
      </c>
      <c r="G19" s="27">
        <v>147683625</v>
      </c>
      <c r="H19" s="28">
        <f>DATE(2015,2,1)</f>
        <v>42036</v>
      </c>
      <c r="I19" s="28">
        <f>DATE(2017,6,30)</f>
        <v>42916</v>
      </c>
      <c r="J19" s="29">
        <f>I19-H19</f>
        <v>880</v>
      </c>
    </row>
    <row r="20" spans="1:10" ht="18" customHeight="1" thickBot="1" x14ac:dyDescent="0.3">
      <c r="A20" s="5"/>
      <c r="B20" s="52"/>
      <c r="C20" s="37"/>
      <c r="D20" s="43" t="s">
        <v>111</v>
      </c>
      <c r="E20" s="39">
        <f>SUM(E15:E19)</f>
        <v>121</v>
      </c>
      <c r="F20" s="40">
        <f t="shared" ref="F20:G20" si="2">SUM(F15:F19)</f>
        <v>1252422</v>
      </c>
      <c r="G20" s="41">
        <f t="shared" si="2"/>
        <v>1060623625</v>
      </c>
      <c r="H20" s="42"/>
      <c r="I20" s="42"/>
      <c r="J20" s="53"/>
    </row>
    <row r="21" spans="1:10" ht="27" thickBot="1" x14ac:dyDescent="0.3">
      <c r="A21" s="5">
        <v>14</v>
      </c>
      <c r="B21" s="55" t="s">
        <v>7</v>
      </c>
      <c r="C21" s="55" t="s">
        <v>56</v>
      </c>
      <c r="D21" s="55" t="s">
        <v>8</v>
      </c>
      <c r="E21" s="56">
        <v>3</v>
      </c>
      <c r="F21" s="57">
        <v>41867</v>
      </c>
      <c r="G21" s="58">
        <v>42932000</v>
      </c>
      <c r="H21" s="59">
        <f>DATE(2016,4,1)</f>
        <v>42461</v>
      </c>
      <c r="I21" s="59">
        <f>DATE(2018,3,31)</f>
        <v>43190</v>
      </c>
      <c r="J21" s="60">
        <f>I21-H21</f>
        <v>729</v>
      </c>
    </row>
    <row r="22" spans="1:10" ht="18" customHeight="1" thickBot="1" x14ac:dyDescent="0.3">
      <c r="A22" s="5"/>
      <c r="B22" s="52"/>
      <c r="C22" s="37"/>
      <c r="D22" s="43" t="s">
        <v>112</v>
      </c>
      <c r="E22" s="39">
        <f>SUM(E21)</f>
        <v>3</v>
      </c>
      <c r="F22" s="40">
        <f t="shared" ref="F22:G22" si="3">SUM(F21)</f>
        <v>41867</v>
      </c>
      <c r="G22" s="41">
        <f t="shared" si="3"/>
        <v>42932000</v>
      </c>
      <c r="H22" s="42"/>
      <c r="I22" s="42"/>
      <c r="J22" s="53"/>
    </row>
    <row r="23" spans="1:10" x14ac:dyDescent="0.25">
      <c r="A23" s="5">
        <v>15</v>
      </c>
      <c r="B23" s="44" t="s">
        <v>37</v>
      </c>
      <c r="C23" s="44" t="s">
        <v>68</v>
      </c>
      <c r="D23" s="44" t="s">
        <v>38</v>
      </c>
      <c r="E23" s="32">
        <v>5</v>
      </c>
      <c r="F23" s="33">
        <v>67459</v>
      </c>
      <c r="G23" s="34">
        <v>69653000</v>
      </c>
      <c r="H23" s="35">
        <f>DATE(2016,7,1)</f>
        <v>42552</v>
      </c>
      <c r="I23" s="35">
        <f>DATE(2018,9,30)</f>
        <v>43373</v>
      </c>
      <c r="J23" s="36">
        <f>I23-H23</f>
        <v>821</v>
      </c>
    </row>
    <row r="24" spans="1:10" x14ac:dyDescent="0.25">
      <c r="A24" s="5">
        <v>16</v>
      </c>
      <c r="B24" s="13" t="s">
        <v>17</v>
      </c>
      <c r="C24" s="22" t="s">
        <v>61</v>
      </c>
      <c r="D24" s="13" t="s">
        <v>19</v>
      </c>
      <c r="E24" s="14">
        <v>4</v>
      </c>
      <c r="F24" s="15">
        <v>45000</v>
      </c>
      <c r="G24" s="16">
        <v>47273000</v>
      </c>
      <c r="H24" s="17">
        <f>DATE(2017,4,1)</f>
        <v>42826</v>
      </c>
      <c r="I24" s="17">
        <f>DATE(2019,3,31)</f>
        <v>43555</v>
      </c>
      <c r="J24" s="18">
        <f>I24-H24</f>
        <v>729</v>
      </c>
    </row>
    <row r="25" spans="1:10" x14ac:dyDescent="0.25">
      <c r="A25" s="5">
        <v>17</v>
      </c>
      <c r="B25" s="13" t="s">
        <v>9</v>
      </c>
      <c r="C25" s="13" t="s">
        <v>57</v>
      </c>
      <c r="D25" s="13" t="s">
        <v>10</v>
      </c>
      <c r="E25" s="14">
        <v>4</v>
      </c>
      <c r="F25" s="15">
        <v>47512</v>
      </c>
      <c r="G25" s="16">
        <v>46465000</v>
      </c>
      <c r="H25" s="17">
        <f>DATE(2017,4,1)</f>
        <v>42826</v>
      </c>
      <c r="I25" s="17">
        <f>DATE(2019,6,30)</f>
        <v>43646</v>
      </c>
      <c r="J25" s="18">
        <f>I25-H25</f>
        <v>820</v>
      </c>
    </row>
    <row r="26" spans="1:10" ht="13.8" thickBot="1" x14ac:dyDescent="0.3">
      <c r="A26" s="5">
        <v>18</v>
      </c>
      <c r="B26" s="23" t="s">
        <v>24</v>
      </c>
      <c r="C26" s="61" t="s">
        <v>87</v>
      </c>
      <c r="D26" s="23" t="s">
        <v>10</v>
      </c>
      <c r="E26" s="25">
        <v>5</v>
      </c>
      <c r="F26" s="26">
        <v>54967</v>
      </c>
      <c r="G26" s="27">
        <v>52634000</v>
      </c>
      <c r="H26" s="28">
        <f>DATE(2016,12,1)</f>
        <v>42705</v>
      </c>
      <c r="I26" s="28">
        <f>DATE(2019,6,30)</f>
        <v>43646</v>
      </c>
      <c r="J26" s="29">
        <f>I26-H26</f>
        <v>941</v>
      </c>
    </row>
    <row r="27" spans="1:10" ht="18" customHeight="1" thickBot="1" x14ac:dyDescent="0.3">
      <c r="A27" s="5"/>
      <c r="B27" s="52"/>
      <c r="C27" s="63"/>
      <c r="D27" s="43" t="s">
        <v>113</v>
      </c>
      <c r="E27" s="39">
        <f>SUM(E23:E26)</f>
        <v>18</v>
      </c>
      <c r="F27" s="40">
        <f t="shared" ref="F27:G27" si="4">SUM(F23:F26)</f>
        <v>214938</v>
      </c>
      <c r="G27" s="41">
        <f t="shared" si="4"/>
        <v>216025000</v>
      </c>
      <c r="H27" s="42"/>
      <c r="I27" s="42"/>
      <c r="J27" s="53"/>
    </row>
    <row r="28" spans="1:10" x14ac:dyDescent="0.25">
      <c r="A28" s="5">
        <v>19</v>
      </c>
      <c r="B28" s="44" t="s">
        <v>15</v>
      </c>
      <c r="C28" s="62" t="s">
        <v>60</v>
      </c>
      <c r="D28" s="44" t="s">
        <v>16</v>
      </c>
      <c r="E28" s="32">
        <v>4</v>
      </c>
      <c r="F28" s="33">
        <v>45300</v>
      </c>
      <c r="G28" s="34">
        <v>49688000</v>
      </c>
      <c r="H28" s="35">
        <f>DATE(2017,7,1)</f>
        <v>42917</v>
      </c>
      <c r="I28" s="35">
        <f>DATE(2019,12,31)</f>
        <v>43830</v>
      </c>
      <c r="J28" s="36">
        <f>I28-H28</f>
        <v>913</v>
      </c>
    </row>
    <row r="29" spans="1:10" ht="26.4" x14ac:dyDescent="0.25">
      <c r="A29" s="5">
        <v>20</v>
      </c>
      <c r="B29" s="13" t="s">
        <v>46</v>
      </c>
      <c r="C29" s="13" t="s">
        <v>72</v>
      </c>
      <c r="D29" s="13" t="s">
        <v>47</v>
      </c>
      <c r="E29" s="14">
        <v>5</v>
      </c>
      <c r="F29" s="15">
        <v>61537</v>
      </c>
      <c r="G29" s="16">
        <v>69236000</v>
      </c>
      <c r="H29" s="17">
        <f>DATE(2017,7,1)</f>
        <v>42917</v>
      </c>
      <c r="I29" s="17">
        <f>DATE(2020,1,31)</f>
        <v>43861</v>
      </c>
      <c r="J29" s="18">
        <f>I29-H29</f>
        <v>944</v>
      </c>
    </row>
    <row r="30" spans="1:10" ht="40.200000000000003" thickBot="1" x14ac:dyDescent="0.3">
      <c r="A30" s="5">
        <v>21</v>
      </c>
      <c r="B30" s="23" t="s">
        <v>35</v>
      </c>
      <c r="C30" s="23" t="s">
        <v>67</v>
      </c>
      <c r="D30" s="23" t="s">
        <v>36</v>
      </c>
      <c r="E30" s="25">
        <v>14</v>
      </c>
      <c r="F30" s="26">
        <v>166296</v>
      </c>
      <c r="G30" s="27">
        <v>155759000</v>
      </c>
      <c r="H30" s="28">
        <f>DATE(2017,7,1)</f>
        <v>42917</v>
      </c>
      <c r="I30" s="28">
        <f>DATE(2020,5,31)</f>
        <v>43982</v>
      </c>
      <c r="J30" s="29">
        <f>I30-H30</f>
        <v>1065</v>
      </c>
    </row>
    <row r="31" spans="1:10" ht="18" customHeight="1" thickBot="1" x14ac:dyDescent="0.3">
      <c r="A31" s="5"/>
      <c r="B31" s="52"/>
      <c r="C31" s="37"/>
      <c r="D31" s="43" t="s">
        <v>114</v>
      </c>
      <c r="E31" s="39">
        <f>SUM(E28:E30)</f>
        <v>23</v>
      </c>
      <c r="F31" s="40">
        <f t="shared" ref="F31:G31" si="5">SUM(F28:F30)</f>
        <v>273133</v>
      </c>
      <c r="G31" s="41">
        <f t="shared" si="5"/>
        <v>274683000</v>
      </c>
      <c r="H31" s="42"/>
      <c r="I31" s="42"/>
      <c r="J31" s="53"/>
    </row>
    <row r="32" spans="1:10" x14ac:dyDescent="0.25">
      <c r="A32" s="5">
        <v>22</v>
      </c>
      <c r="B32" s="44" t="s">
        <v>39</v>
      </c>
      <c r="C32" s="44" t="s">
        <v>69</v>
      </c>
      <c r="D32" s="44" t="s">
        <v>40</v>
      </c>
      <c r="E32" s="32">
        <v>15</v>
      </c>
      <c r="F32" s="33">
        <v>169342</v>
      </c>
      <c r="G32" s="34">
        <v>178689000</v>
      </c>
      <c r="H32" s="35">
        <f>DATE(2018,2,1)</f>
        <v>43132</v>
      </c>
      <c r="I32" s="35">
        <f>DATE(2020,12,31)</f>
        <v>44196</v>
      </c>
      <c r="J32" s="36">
        <f>I32-H32</f>
        <v>1064</v>
      </c>
    </row>
    <row r="33" spans="1:10" x14ac:dyDescent="0.25">
      <c r="A33" s="5">
        <v>23</v>
      </c>
      <c r="B33" s="13" t="s">
        <v>41</v>
      </c>
      <c r="C33" s="13" t="s">
        <v>70</v>
      </c>
      <c r="D33" s="13" t="s">
        <v>42</v>
      </c>
      <c r="E33" s="14">
        <v>26</v>
      </c>
      <c r="F33" s="15">
        <v>301464</v>
      </c>
      <c r="G33" s="16">
        <v>277164000</v>
      </c>
      <c r="H33" s="17">
        <f>DATE(2018,5,1)</f>
        <v>43221</v>
      </c>
      <c r="I33" s="17">
        <f>DATE(2021,3,31)</f>
        <v>44286</v>
      </c>
      <c r="J33" s="18">
        <f>I33-H33</f>
        <v>1065</v>
      </c>
    </row>
    <row r="34" spans="1:10" ht="12.75" customHeight="1" x14ac:dyDescent="0.25">
      <c r="A34" s="5">
        <v>24</v>
      </c>
      <c r="B34" s="13" t="s">
        <v>24</v>
      </c>
      <c r="C34" s="19" t="s">
        <v>88</v>
      </c>
      <c r="D34" s="13" t="s">
        <v>25</v>
      </c>
      <c r="E34" s="14">
        <v>9</v>
      </c>
      <c r="F34" s="15">
        <v>89690</v>
      </c>
      <c r="G34" s="16">
        <v>92515000</v>
      </c>
      <c r="H34" s="17">
        <f>DATE(2018,12,1)</f>
        <v>43435</v>
      </c>
      <c r="I34" s="17">
        <f>DATE(2021,5,31)</f>
        <v>44347</v>
      </c>
      <c r="J34" s="18">
        <f>I34-H34</f>
        <v>912</v>
      </c>
    </row>
    <row r="35" spans="1:10" ht="27" thickBot="1" x14ac:dyDescent="0.3">
      <c r="A35" s="5">
        <v>25</v>
      </c>
      <c r="B35" s="23" t="s">
        <v>26</v>
      </c>
      <c r="C35" s="23" t="s">
        <v>64</v>
      </c>
      <c r="D35" s="23" t="s">
        <v>122</v>
      </c>
      <c r="E35" s="25">
        <v>44</v>
      </c>
      <c r="F35" s="26">
        <v>405500</v>
      </c>
      <c r="G35" s="27">
        <v>451959000</v>
      </c>
      <c r="H35" s="28">
        <f>DATE(2018,7,1)</f>
        <v>43282</v>
      </c>
      <c r="I35" s="28">
        <f>DATE(2021,6,30)</f>
        <v>44377</v>
      </c>
      <c r="J35" s="29">
        <f>I35-H35</f>
        <v>1095</v>
      </c>
    </row>
    <row r="36" spans="1:10" ht="18" customHeight="1" thickBot="1" x14ac:dyDescent="0.3">
      <c r="A36" s="5"/>
      <c r="B36" s="52"/>
      <c r="C36" s="37"/>
      <c r="D36" s="43" t="s">
        <v>115</v>
      </c>
      <c r="E36" s="39">
        <f>SUM(E32:E35)</f>
        <v>94</v>
      </c>
      <c r="F36" s="40">
        <f t="shared" ref="F36:G36" si="6">SUM(F32:F35)</f>
        <v>965996</v>
      </c>
      <c r="G36" s="41">
        <f t="shared" si="6"/>
        <v>1000327000</v>
      </c>
      <c r="H36" s="42"/>
      <c r="I36" s="42"/>
      <c r="J36" s="53"/>
    </row>
    <row r="37" spans="1:10" ht="26.4" x14ac:dyDescent="0.25">
      <c r="A37" s="5">
        <v>26</v>
      </c>
      <c r="B37" s="44" t="s">
        <v>5</v>
      </c>
      <c r="C37" s="44" t="s">
        <v>55</v>
      </c>
      <c r="D37" s="44" t="s">
        <v>6</v>
      </c>
      <c r="E37" s="32">
        <v>6</v>
      </c>
      <c r="F37" s="33">
        <v>77559</v>
      </c>
      <c r="G37" s="34">
        <v>91073000</v>
      </c>
      <c r="H37" s="35">
        <f>DATE(2019,7,1)</f>
        <v>43647</v>
      </c>
      <c r="I37" s="35">
        <f>DATE(2021,9,30)</f>
        <v>44469</v>
      </c>
      <c r="J37" s="36">
        <f>I37-H37</f>
        <v>822</v>
      </c>
    </row>
    <row r="38" spans="1:10" ht="26.4" x14ac:dyDescent="0.25">
      <c r="A38" s="5">
        <v>27</v>
      </c>
      <c r="B38" s="13" t="s">
        <v>20</v>
      </c>
      <c r="C38" s="13" t="s">
        <v>62</v>
      </c>
      <c r="D38" s="13" t="s">
        <v>21</v>
      </c>
      <c r="E38" s="14">
        <v>8</v>
      </c>
      <c r="F38" s="15">
        <v>90206</v>
      </c>
      <c r="G38" s="16">
        <v>94451000</v>
      </c>
      <c r="H38" s="17">
        <f>DATE(2018,7,1)</f>
        <v>43282</v>
      </c>
      <c r="I38" s="17">
        <f>DATE(2021,9,30)</f>
        <v>44469</v>
      </c>
      <c r="J38" s="18">
        <f>I38-H38</f>
        <v>1187</v>
      </c>
    </row>
    <row r="39" spans="1:10" ht="26.4" x14ac:dyDescent="0.25">
      <c r="A39" s="5">
        <v>28</v>
      </c>
      <c r="B39" s="13" t="s">
        <v>31</v>
      </c>
      <c r="C39" s="19" t="s">
        <v>89</v>
      </c>
      <c r="D39" s="13" t="s">
        <v>32</v>
      </c>
      <c r="E39" s="14">
        <v>8</v>
      </c>
      <c r="F39" s="15">
        <v>92331</v>
      </c>
      <c r="G39" s="16">
        <v>99507000</v>
      </c>
      <c r="H39" s="17">
        <f>DATE(2018,12,1)</f>
        <v>43435</v>
      </c>
      <c r="I39" s="17">
        <f>DATE(2022,1,19)</f>
        <v>44580</v>
      </c>
      <c r="J39" s="18">
        <f>I39-H39</f>
        <v>1145</v>
      </c>
    </row>
    <row r="40" spans="1:10" ht="13.8" thickBot="1" x14ac:dyDescent="0.3">
      <c r="A40" s="5">
        <v>29</v>
      </c>
      <c r="B40" s="23" t="s">
        <v>11</v>
      </c>
      <c r="C40" s="23" t="s">
        <v>58</v>
      </c>
      <c r="D40" s="23" t="s">
        <v>12</v>
      </c>
      <c r="E40" s="25">
        <v>2</v>
      </c>
      <c r="F40" s="26">
        <v>21015</v>
      </c>
      <c r="G40" s="27">
        <v>33704000</v>
      </c>
      <c r="H40" s="28">
        <f>DATE(2020,2,1)</f>
        <v>43862</v>
      </c>
      <c r="I40" s="28">
        <f>DATE(2022,3,31)</f>
        <v>44651</v>
      </c>
      <c r="J40" s="29">
        <f>I40-H40</f>
        <v>789</v>
      </c>
    </row>
    <row r="41" spans="1:10" ht="18" customHeight="1" thickBot="1" x14ac:dyDescent="0.3">
      <c r="A41" s="5"/>
      <c r="B41" s="52"/>
      <c r="C41" s="64"/>
      <c r="D41" s="43" t="s">
        <v>116</v>
      </c>
      <c r="E41" s="39">
        <f>SUM(E37:E40)</f>
        <v>24</v>
      </c>
      <c r="F41" s="40">
        <f t="shared" ref="F41:G41" si="7">SUM(F37:F40)</f>
        <v>281111</v>
      </c>
      <c r="G41" s="41">
        <f t="shared" si="7"/>
        <v>318735000</v>
      </c>
      <c r="H41" s="42"/>
      <c r="I41" s="42"/>
      <c r="J41" s="53"/>
    </row>
    <row r="42" spans="1:10" ht="13.8" thickBot="1" x14ac:dyDescent="0.3">
      <c r="A42" s="5">
        <v>30</v>
      </c>
      <c r="B42" s="55" t="s">
        <v>17</v>
      </c>
      <c r="C42" s="65" t="s">
        <v>86</v>
      </c>
      <c r="D42" s="55" t="s">
        <v>18</v>
      </c>
      <c r="E42" s="56">
        <v>5</v>
      </c>
      <c r="F42" s="57">
        <v>57799</v>
      </c>
      <c r="G42" s="58">
        <v>90312000</v>
      </c>
      <c r="H42" s="59">
        <f>DATE(2020,10,1)</f>
        <v>44105</v>
      </c>
      <c r="I42" s="59">
        <f>DATE(2022,12,31)</f>
        <v>44926</v>
      </c>
      <c r="J42" s="60">
        <f>I42-H42</f>
        <v>821</v>
      </c>
    </row>
    <row r="43" spans="1:10" ht="18" customHeight="1" thickBot="1" x14ac:dyDescent="0.3">
      <c r="A43" s="2"/>
      <c r="B43" s="78"/>
      <c r="C43" s="79"/>
      <c r="D43" s="80" t="s">
        <v>117</v>
      </c>
      <c r="E43" s="81">
        <f>SUM(E42)</f>
        <v>5</v>
      </c>
      <c r="F43" s="82">
        <f t="shared" ref="F43:G43" si="8">SUM(F42)</f>
        <v>57799</v>
      </c>
      <c r="G43" s="83">
        <f t="shared" si="8"/>
        <v>90312000</v>
      </c>
      <c r="H43" s="84"/>
      <c r="I43" s="84"/>
      <c r="J43" s="85"/>
    </row>
    <row r="44" spans="1:10" ht="24" customHeight="1" thickTop="1" thickBot="1" x14ac:dyDescent="0.3">
      <c r="A44" s="2"/>
      <c r="B44" s="68"/>
      <c r="C44" s="69"/>
      <c r="D44" s="73" t="s">
        <v>118</v>
      </c>
      <c r="E44" s="70">
        <f>E8+E14+E20+E22+E27+E31+E36+E41+E43</f>
        <v>363</v>
      </c>
      <c r="F44" s="66">
        <f t="shared" ref="F44:G44" si="9">F8+F14+F20+F22+F27+F31+F36+F41+F43</f>
        <v>3955530</v>
      </c>
      <c r="G44" s="67">
        <f t="shared" si="9"/>
        <v>3820826625</v>
      </c>
      <c r="H44" s="71"/>
      <c r="I44" s="71"/>
      <c r="J44" s="72"/>
    </row>
    <row r="45" spans="1:10" ht="11.1" customHeight="1" thickTop="1" x14ac:dyDescent="0.25">
      <c r="A45" s="2"/>
      <c r="E45" s="2"/>
      <c r="F45" s="10"/>
      <c r="G45" s="11"/>
      <c r="H45" s="2"/>
      <c r="I45" s="2"/>
      <c r="J45" s="2"/>
    </row>
    <row r="46" spans="1:10" ht="11.1" customHeight="1" x14ac:dyDescent="0.25">
      <c r="A46" s="2"/>
      <c r="E46" s="2"/>
      <c r="F46" s="10"/>
      <c r="G46" s="11"/>
      <c r="H46" s="2"/>
      <c r="I46" s="2"/>
      <c r="J46" s="2"/>
    </row>
    <row r="47" spans="1:10" ht="11.1" customHeight="1" x14ac:dyDescent="0.25">
      <c r="A47" s="2"/>
      <c r="E47" s="2"/>
      <c r="F47" s="10"/>
      <c r="G47" s="11"/>
      <c r="H47" s="2"/>
      <c r="I47" s="2"/>
      <c r="J47" s="2"/>
    </row>
    <row r="48" spans="1:10" ht="22.8" x14ac:dyDescent="0.25">
      <c r="A48" s="2"/>
      <c r="B48" s="74" t="s">
        <v>123</v>
      </c>
      <c r="E48" s="2"/>
      <c r="F48" s="9"/>
      <c r="G48" s="12"/>
      <c r="J48" s="2"/>
    </row>
    <row r="49" spans="1:10" ht="11.1" customHeight="1" x14ac:dyDescent="0.25">
      <c r="A49" s="2"/>
      <c r="J49" s="2"/>
    </row>
    <row r="50" spans="1:10" ht="15.9" customHeight="1" x14ac:dyDescent="0.25">
      <c r="A50" s="2"/>
      <c r="B50" s="4" t="s">
        <v>0</v>
      </c>
      <c r="C50" s="4" t="s">
        <v>1</v>
      </c>
      <c r="D50" s="86" t="s">
        <v>48</v>
      </c>
      <c r="J50" s="2"/>
    </row>
    <row r="51" spans="1:10" ht="14.1" customHeight="1" x14ac:dyDescent="0.25">
      <c r="A51" s="2">
        <v>31</v>
      </c>
      <c r="B51" s="3" t="s">
        <v>82</v>
      </c>
      <c r="C51" s="87" t="s">
        <v>83</v>
      </c>
      <c r="D51" s="89" t="s">
        <v>84</v>
      </c>
      <c r="J51" s="2"/>
    </row>
    <row r="52" spans="1:10" ht="14.1" customHeight="1" x14ac:dyDescent="0.25">
      <c r="A52" s="2">
        <v>32</v>
      </c>
      <c r="B52" s="6" t="s">
        <v>49</v>
      </c>
      <c r="C52" s="6" t="s">
        <v>73</v>
      </c>
      <c r="D52" s="90"/>
      <c r="J52" s="2"/>
    </row>
    <row r="53" spans="1:10" ht="14.1" customHeight="1" x14ac:dyDescent="0.25">
      <c r="A53" s="2">
        <v>33</v>
      </c>
      <c r="B53" s="6" t="s">
        <v>49</v>
      </c>
      <c r="C53" s="6" t="s">
        <v>74</v>
      </c>
      <c r="D53" s="90"/>
      <c r="J53" s="2"/>
    </row>
    <row r="54" spans="1:10" ht="14.1" customHeight="1" x14ac:dyDescent="0.25">
      <c r="A54" s="2">
        <v>34</v>
      </c>
      <c r="B54" s="6" t="s">
        <v>17</v>
      </c>
      <c r="C54" s="6" t="s">
        <v>75</v>
      </c>
      <c r="D54" s="90"/>
      <c r="J54" s="2"/>
    </row>
    <row r="55" spans="1:10" ht="14.1" customHeight="1" x14ac:dyDescent="0.25">
      <c r="A55" s="2">
        <v>35</v>
      </c>
      <c r="B55" s="6" t="s">
        <v>17</v>
      </c>
      <c r="C55" s="6" t="s">
        <v>76</v>
      </c>
      <c r="D55" s="90"/>
      <c r="J55" s="2"/>
    </row>
    <row r="56" spans="1:10" ht="14.1" customHeight="1" x14ac:dyDescent="0.25">
      <c r="A56" s="2">
        <v>36</v>
      </c>
      <c r="B56" s="6" t="s">
        <v>17</v>
      </c>
      <c r="C56" s="6" t="s">
        <v>77</v>
      </c>
      <c r="D56" s="90"/>
    </row>
    <row r="57" spans="1:10" ht="14.1" customHeight="1" x14ac:dyDescent="0.25">
      <c r="A57" s="2">
        <v>37</v>
      </c>
      <c r="B57" s="6" t="s">
        <v>50</v>
      </c>
      <c r="C57" s="88" t="s">
        <v>78</v>
      </c>
      <c r="D57" s="90"/>
    </row>
    <row r="58" spans="1:10" ht="14.1" customHeight="1" x14ac:dyDescent="0.25">
      <c r="A58" s="2">
        <v>38</v>
      </c>
      <c r="B58" s="6" t="s">
        <v>51</v>
      </c>
      <c r="C58" s="6" t="s">
        <v>79</v>
      </c>
      <c r="D58" s="90"/>
    </row>
    <row r="59" spans="1:10" ht="14.1" customHeight="1" x14ac:dyDescent="0.25">
      <c r="A59" s="2">
        <v>39</v>
      </c>
      <c r="B59" s="6" t="s">
        <v>52</v>
      </c>
      <c r="C59" s="6" t="s">
        <v>80</v>
      </c>
      <c r="D59" s="90"/>
    </row>
    <row r="60" spans="1:10" ht="14.1" customHeight="1" x14ac:dyDescent="0.25">
      <c r="A60" s="2">
        <v>40</v>
      </c>
      <c r="B60" s="6" t="s">
        <v>53</v>
      </c>
      <c r="C60" s="6" t="s">
        <v>81</v>
      </c>
      <c r="D60" s="90"/>
    </row>
    <row r="61" spans="1:10" ht="11.1" customHeight="1" x14ac:dyDescent="0.25">
      <c r="A61" s="2"/>
      <c r="B61" s="7"/>
    </row>
    <row r="62" spans="1:10" ht="12" customHeight="1" x14ac:dyDescent="0.25">
      <c r="A62" s="2"/>
      <c r="B62" s="8"/>
    </row>
    <row r="63" spans="1:10" ht="11.1" customHeight="1" x14ac:dyDescent="0.25">
      <c r="A63" s="2"/>
      <c r="B63" s="7"/>
    </row>
    <row r="64" spans="1:10" ht="11.1" customHeight="1" x14ac:dyDescent="0.25">
      <c r="A64" s="2"/>
      <c r="B64" s="7"/>
    </row>
    <row r="65" spans="1:2" ht="11.1" customHeight="1" x14ac:dyDescent="0.25">
      <c r="A65" s="2"/>
      <c r="B65" s="7"/>
    </row>
    <row r="66" spans="1:2" ht="11.1" customHeight="1" x14ac:dyDescent="0.25">
      <c r="A66" s="2"/>
      <c r="B66" s="7"/>
    </row>
    <row r="67" spans="1:2" ht="11.1" customHeight="1" x14ac:dyDescent="0.25">
      <c r="A67" s="2"/>
      <c r="B67" s="7"/>
    </row>
    <row r="68" spans="1:2" ht="11.1" customHeight="1" x14ac:dyDescent="0.25">
      <c r="A68" s="2"/>
      <c r="B68" s="7"/>
    </row>
    <row r="69" spans="1:2" ht="11.1" customHeight="1" x14ac:dyDescent="0.25">
      <c r="A69" s="2"/>
      <c r="B69" s="7"/>
    </row>
    <row r="70" spans="1:2" ht="11.1" customHeight="1" x14ac:dyDescent="0.25">
      <c r="A70" s="2"/>
      <c r="B70" s="7"/>
    </row>
    <row r="71" spans="1:2" x14ac:dyDescent="0.25">
      <c r="A71" s="2"/>
    </row>
    <row r="72" spans="1:2" x14ac:dyDescent="0.25">
      <c r="A72" s="2"/>
    </row>
  </sheetData>
  <sortState ref="B5:J34">
    <sortCondition ref="I5:I34"/>
  </sortState>
  <mergeCells count="1">
    <mergeCell ref="D51:D60"/>
  </mergeCells>
  <hyperlinks>
    <hyperlink ref="C19" r:id="rId1" display="http://www.courts.ca.gov/facilities-alameda-dublin.htm"/>
    <hyperlink ref="C37" r:id="rId2" display="http://www.courts.ca.gov/facilities-eldorado.htm"/>
    <hyperlink ref="C21" r:id="rId3" display="http://www.courts.ca.gov/facilities-glenn.htm"/>
    <hyperlink ref="C25" r:id="rId4" display="http://www.courts.ca.gov/facilities-imperial.htm"/>
    <hyperlink ref="C40" r:id="rId5" display="http://www.courts.ca.gov/facilities-inyo.htm"/>
    <hyperlink ref="C11" r:id="rId6" display="http://www.courts.ca.gov/facilities-kings.htm"/>
    <hyperlink ref="C28" r:id="rId7" display="http://www.courts.ca.gov/facilities-lake.htm"/>
    <hyperlink ref="C42" r:id="rId8" display="http://www.courts.ca.gov/facilities-la-eastlake.htm"/>
    <hyperlink ref="C24" r:id="rId9" display="http://www.courts.ca.gov/facilities-la-mentalhealth.htm"/>
    <hyperlink ref="C38" r:id="rId10" display="http://www.courts.ca.gov/facilities-mendocino.htm"/>
    <hyperlink ref="C16" r:id="rId11" display="http://www.courts.ca.gov/facilities-merced-losbanos.htm"/>
    <hyperlink ref="C26" r:id="rId12" display="http://www.courts.ca.gov/facilities-riverside-indio.htm"/>
    <hyperlink ref="C34" r:id="rId13" display="http://www.courts.ca.gov/facilities-riverside-hemet.htm"/>
    <hyperlink ref="C35" r:id="rId14" display="http://www.courts.ca.gov/facilities-sacramento.htm"/>
    <hyperlink ref="C18" r:id="rId15" display="http://www.courts.ca.gov/facilities-sandiego.htm"/>
    <hyperlink ref="C17" r:id="rId16" display="http://www.courts.ca.gov/facilities-sanjoaquin-stockton.htm"/>
    <hyperlink ref="C39" r:id="rId17" display="http://www.courts.ca.gov/facilities-santabarbara.htm"/>
    <hyperlink ref="C30" r:id="rId18" display="http://www.courts.ca.gov/facilities-shasta.htm"/>
    <hyperlink ref="C23" r:id="rId19" display="http://www.courts.ca.gov/facilities-siskiyou.htm"/>
    <hyperlink ref="C32" r:id="rId20" display="http://www.courts.ca.gov/facilities-sonoma.htm"/>
    <hyperlink ref="C33" r:id="rId21" display="http://www.courts.ca.gov/facilities-stanislaus.htm"/>
    <hyperlink ref="C12" r:id="rId22" display="http://www.courts.ca.gov/facilities-sutter.htm"/>
    <hyperlink ref="C15" r:id="rId23" display="http://www.courts.ca.gov/facilities-tehama.htm"/>
    <hyperlink ref="C29" r:id="rId24" display="http://www.courts.ca.gov/facilities-tuolumne.htm"/>
    <hyperlink ref="C52" r:id="rId25" display="http://www.courts.ca.gov/facilities-kern-delano.htm"/>
    <hyperlink ref="C53" r:id="rId26" display="http://www.courts.ca.gov/facilities-kern-mojave.htm"/>
    <hyperlink ref="C54" r:id="rId27" display="http://www.courts.ca.gov/facilities-la-glendale.htm"/>
    <hyperlink ref="C55" r:id="rId28" display="http://www.courts.ca.gov/facilities-la-santaclarita.htm"/>
    <hyperlink ref="C56" r:id="rId29" display="http://www.courts.ca.gov/facilities-la-southeast.htm"/>
    <hyperlink ref="C57" r:id="rId30" display="http://www.courts.ca.gov/facilities-monterey.htm"/>
    <hyperlink ref="C58" r:id="rId31" display="http://www.courts.ca.gov/facilities-nevada.htm"/>
    <hyperlink ref="C59" r:id="rId32" display="http://www.courts.ca.gov/facilities-placer.htm"/>
    <hyperlink ref="C60" r:id="rId33" display="http://www.courts.ca.gov/facilities-plumas-quincy.htm"/>
    <hyperlink ref="C51" r:id="rId34"/>
    <hyperlink ref="C13" r:id="rId35" display="http://www.courts.ca.gov/facilities-santaclara.htm"/>
    <hyperlink ref="C13" r:id="rId36"/>
    <hyperlink ref="C9" r:id="rId37" display="http://www.courts.ca.gov/facilities-yolo.htm"/>
    <hyperlink ref="C5" r:id="rId38" display="http://www.courts.ca.gov/facilities-butte.htm"/>
    <hyperlink ref="C10" r:id="rId39" display="http://www.courts.ca.gov/facilities-madera.htm"/>
    <hyperlink ref="C7" r:id="rId40" display="http://www.courts.ca.gov/facilities-sanjoaquin-jv.htm"/>
    <hyperlink ref="C5" r:id="rId41"/>
    <hyperlink ref="C10" r:id="rId42"/>
    <hyperlink ref="C6" r:id="rId43"/>
    <hyperlink ref="C7" r:id="rId44"/>
    <hyperlink ref="C9" r:id="rId45"/>
  </hyperlinks>
  <pageMargins left="0.25" right="0.25" top="0.75" bottom="0.75" header="0.3" footer="0.3"/>
  <pageSetup paperSize="3" scale="67" orientation="portrait"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KQuinn</dc:creator>
  <cp:lastModifiedBy>Powlan, Christine</cp:lastModifiedBy>
  <cp:lastPrinted>2015-12-30T01:24:34Z</cp:lastPrinted>
  <dcterms:created xsi:type="dcterms:W3CDTF">2015-12-28T11:27:14Z</dcterms:created>
  <dcterms:modified xsi:type="dcterms:W3CDTF">2016-06-07T23:16:57Z</dcterms:modified>
</cp:coreProperties>
</file>