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18.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drawings/drawing19.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20.xml" ContentType="application/vnd.openxmlformats-officedocument.spreadsheetml.comments+xml"/>
  <Override PartName="/xl/drawings/drawing20.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21.xml" ContentType="application/vnd.openxmlformats-officedocument.spreadsheetml.comments+xml"/>
  <Override PartName="/xl/drawings/drawing21.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22.xml" ContentType="application/vnd.openxmlformats-officedocument.spreadsheetml.comments+xml"/>
  <Override PartName="/xl/drawings/drawing22.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SCRO\Collections\Revenue Distribution\2016\May-June 2016\MATERIALS &amp; Print Outs\Workshop B\"/>
    </mc:Choice>
  </mc:AlternateContent>
  <bookViews>
    <workbookView xWindow="0" yWindow="0" windowWidth="24000" windowHeight="9735" tabRatio="973" firstSheet="9" activeTab="20"/>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TEST SUMMARY" sheetId="9" state="hidden" r:id="rId11"/>
    <sheet name="Sheet1" sheetId="82" state="hidden" r:id="rId12"/>
    <sheet name="Section" sheetId="42" state="hidden" r:id="rId13"/>
    <sheet name="Acct Mapping" sheetId="50" state="hidden" r:id="rId14"/>
    <sheet name="Pmt Plan Tmpl" sheetId="73" state="hidden" r:id="rId15"/>
    <sheet name="1-DUI (ALT)" sheetId="52" state="hidden" r:id="rId16"/>
    <sheet name="1-DUI (Reduce Base)" sheetId="157" state="hidden" r:id="rId17"/>
    <sheet name="3-RD (Reduce Base)" sheetId="104" state="hidden" r:id="rId18"/>
    <sheet name="4-RRBF" sheetId="106" state="hidden" r:id="rId19"/>
    <sheet name="5-RRTS (BF &amp; No 2%)" sheetId="121" state="hidden" r:id="rId20"/>
    <sheet name=" 1 Speeding" sheetId="177" r:id="rId21"/>
    <sheet name="7-RLTS" sheetId="98" state="hidden" r:id="rId22"/>
    <sheet name="8-RLBF (No 30%)" sheetId="154" state="hidden" r:id="rId23"/>
    <sheet name="9-SpBF" sheetId="110" state="hidden" r:id="rId24"/>
    <sheet name="2 Red Light" sheetId="183" r:id="rId25"/>
    <sheet name="3 DUI" sheetId="182" r:id="rId26"/>
    <sheet name="Top Down Method 1" sheetId="175" r:id="rId27"/>
    <sheet name="Top Down Method 2" sheetId="176" r:id="rId28"/>
    <sheet name="11-CSBF" sheetId="124" state="hidden" r:id="rId29"/>
    <sheet name="12-CSTS (BF &amp; 2%)" sheetId="136" state="hidden" r:id="rId30"/>
    <sheet name="13-UC" sheetId="114" state="hidden" r:id="rId31"/>
    <sheet name="14-POC" sheetId="119" state="hidden" r:id="rId32"/>
    <sheet name="15-POI (Base Reduce)" sheetId="142" state="hidden" r:id="rId33"/>
    <sheet name="16-DV" sheetId="120" state="hidden" r:id="rId34"/>
    <sheet name="17-HS (Enhance Base)" sheetId="159" state="hidden" r:id="rId35"/>
    <sheet name="18-HS (Enh-Red Base)" sheetId="158" state="hidden" r:id="rId36"/>
    <sheet name="19-FG" sheetId="138" state="hidden" r:id="rId37"/>
  </sheets>
  <externalReferences>
    <externalReference r:id="rId38"/>
    <externalReference r:id="rId39"/>
    <externalReference r:id="rId40"/>
    <externalReference r:id="rId41"/>
    <externalReference r:id="rId42"/>
  </externalReferences>
  <definedNames>
    <definedName name="Answer">#REF!</definedName>
    <definedName name="Counties">'Local Penalties'!$A$12:$A$69</definedName>
    <definedName name="County">#REF!</definedName>
    <definedName name="County_Name">#REF!</definedName>
    <definedName name="Court_Name" localSheetId="31">[1]Sheet1!$D$1:$D$59</definedName>
    <definedName name="Court_Name" localSheetId="33">[1]Sheet1!$D$1:$D$59</definedName>
    <definedName name="Court_Name">Sheet1!$D$1:$D$59</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16">#REF!</definedName>
    <definedName name="dbo_Fund" localSheetId="8">#REF!</definedName>
    <definedName name="dbo_Fund" localSheetId="7">#REF!</definedName>
    <definedName name="dbo_Fund" localSheetId="6">#REF!</definedName>
    <definedName name="dbo_Fund" localSheetId="5">#REF!</definedName>
    <definedName name="dbo_Fund" localSheetId="17">#REF!</definedName>
    <definedName name="dbo_Fund" localSheetId="18">#REF!</definedName>
    <definedName name="dbo_Fund" localSheetId="19">#REF!</definedName>
    <definedName name="dbo_Fund" localSheetId="21">#REF!</definedName>
    <definedName name="dbo_Fund" localSheetId="22">#REF!</definedName>
    <definedName name="dbo_Fund" localSheetId="23">#REF!</definedName>
    <definedName name="dbo_Fund" localSheetId="3">#REF!</definedName>
    <definedName name="dbo_Fund">#REF!</definedName>
    <definedName name="Distribution_Method" localSheetId="31">'[1]Drop-Down List'!$A$1:$A$2</definedName>
    <definedName name="Distribution_Method" localSheetId="33">'[1]Drop-Down List'!$A$1:$A$2</definedName>
    <definedName name="Distribution_Method">'Drop-Down List'!$A$1:$A$2</definedName>
    <definedName name="_xlnm.Print_Area" localSheetId="28">'11-CSBF'!$A$1:$W$47</definedName>
    <definedName name="_xlnm.Print_Area" localSheetId="29">'12-CSTS (BF &amp; 2%)'!$A$1:$W$52</definedName>
    <definedName name="_xlnm.Print_Area" localSheetId="30">'13-UC'!$A$1:$W$47</definedName>
    <definedName name="_xlnm.Print_Area" localSheetId="31">'14-POC'!$A$1:$W$27</definedName>
    <definedName name="_xlnm.Print_Area" localSheetId="32">'15-POI (Base Reduce)'!$A$1:$W$47</definedName>
    <definedName name="_xlnm.Print_Area" localSheetId="33">'16-DV'!$A$1:$W$33</definedName>
    <definedName name="_xlnm.Print_Area" localSheetId="34">'17-HS (Enhance Base)'!$A$1:$X$45</definedName>
    <definedName name="_xlnm.Print_Area" localSheetId="35">'18-HS (Enh-Red Base)'!$A$1:$X$46</definedName>
    <definedName name="_xlnm.Print_Area" localSheetId="36">'19-FG'!$A$1:$W$44</definedName>
    <definedName name="_xlnm.Print_Area" localSheetId="16">'1-DUI (Reduce Base)'!$A$1:$X$54</definedName>
    <definedName name="_xlnm.Print_Area" localSheetId="24">'2 Red Light'!$A$1:$R$43</definedName>
    <definedName name="_xlnm.Print_Area" localSheetId="25">'3 DUI'!$A$1:$P$50</definedName>
    <definedName name="_xlnm.Print_Area" localSheetId="17">'3-RD (Reduce Base)'!$A$1:$W$49</definedName>
    <definedName name="_xlnm.Print_Area" localSheetId="18">'4-RRBF'!$A$1:$Y$47</definedName>
    <definedName name="_xlnm.Print_Area" localSheetId="19">'5-RRTS (BF &amp; No 2%)'!$A$1:$Y$52</definedName>
    <definedName name="_xlnm.Print_Area" localSheetId="21">'7-RLTS'!$A$1:$W$52</definedName>
    <definedName name="_xlnm.Print_Area" localSheetId="22">'8-RLBF (No 30%)'!$A$1:$Y$47</definedName>
    <definedName name="_xlnm.Print_Area" localSheetId="23">'9-SpBF'!$A$1:$W$47</definedName>
    <definedName name="_xlnm.Print_Area" localSheetId="2">'Cover Page'!$A$1:$Q$8</definedName>
    <definedName name="_xlnm.Print_Area" localSheetId="10">'TEST SUMMARY'!$B$5:$AM$30</definedName>
    <definedName name="_xlnm.Print_Area" localSheetId="26">'Top Down Method 1'!$B$1:$P$44</definedName>
    <definedName name="_xlnm.Print_Area" localSheetId="27">'Top Down Method 2'!$B$1:$Q$43</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28" hidden="1">'11-CSBF'!#REF!,'11-CSBF'!#REF!</definedName>
    <definedName name="Z_07F1F502_9FC7_4878_A746_52E1655BD4FA_.wvu.Cols" localSheetId="29" hidden="1">'12-CSTS (BF &amp; 2%)'!#REF!,'12-CSTS (BF &amp; 2%)'!#REF!</definedName>
    <definedName name="Z_07F1F502_9FC7_4878_A746_52E1655BD4FA_.wvu.Cols" localSheetId="30" hidden="1">'13-UC'!#REF!,'13-UC'!#REF!</definedName>
    <definedName name="Z_07F1F502_9FC7_4878_A746_52E1655BD4FA_.wvu.Cols" localSheetId="31" hidden="1">'14-POC'!#REF!,'14-POC'!#REF!</definedName>
    <definedName name="Z_07F1F502_9FC7_4878_A746_52E1655BD4FA_.wvu.Cols" localSheetId="32" hidden="1">'15-POI (Base Reduce)'!#REF!,'15-POI (Base Reduce)'!#REF!</definedName>
    <definedName name="Z_07F1F502_9FC7_4878_A746_52E1655BD4FA_.wvu.Cols" localSheetId="33" hidden="1">'16-DV'!#REF!,'16-DV'!#REF!</definedName>
    <definedName name="Z_07F1F502_9FC7_4878_A746_52E1655BD4FA_.wvu.Cols" localSheetId="34" hidden="1">'17-HS (Enhance Base)'!#REF!,'17-HS (Enhance Base)'!#REF!</definedName>
    <definedName name="Z_07F1F502_9FC7_4878_A746_52E1655BD4FA_.wvu.Cols" localSheetId="35" hidden="1">'18-HS (Enh-Red Base)'!#REF!,'18-HS (Enh-Red Base)'!#REF!</definedName>
    <definedName name="Z_07F1F502_9FC7_4878_A746_52E1655BD4FA_.wvu.Cols" localSheetId="36" hidden="1">'19-FG'!#REF!,'19-FG'!#REF!</definedName>
    <definedName name="Z_07F1F502_9FC7_4878_A746_52E1655BD4FA_.wvu.Cols" localSheetId="15" hidden="1">'1-DUI (ALT)'!#REF!,'1-DUI (ALT)'!#REF!</definedName>
    <definedName name="Z_07F1F502_9FC7_4878_A746_52E1655BD4FA_.wvu.Cols" localSheetId="16" hidden="1">'1-DUI (Reduce Base)'!#REF!,'1-DUI (Reduce Base)'!#REF!</definedName>
    <definedName name="Z_07F1F502_9FC7_4878_A746_52E1655BD4FA_.wvu.Cols" localSheetId="17" hidden="1">'3-RD (Reduce Base)'!#REF!,'3-RD (Reduce Base)'!#REF!</definedName>
    <definedName name="Z_07F1F502_9FC7_4878_A746_52E1655BD4FA_.wvu.Cols" localSheetId="18" hidden="1">'4-RRBF'!#REF!,'4-RRBF'!#REF!</definedName>
    <definedName name="Z_07F1F502_9FC7_4878_A746_52E1655BD4FA_.wvu.Cols" localSheetId="19" hidden="1">'5-RRTS (BF &amp; No 2%)'!#REF!,'5-RRTS (BF &amp; No 2%)'!#REF!</definedName>
    <definedName name="Z_07F1F502_9FC7_4878_A746_52E1655BD4FA_.wvu.Cols" localSheetId="21" hidden="1">'7-RLTS'!#REF!,'7-RLTS'!#REF!</definedName>
    <definedName name="Z_07F1F502_9FC7_4878_A746_52E1655BD4FA_.wvu.Cols" localSheetId="22" hidden="1">'8-RLBF (No 30%)'!#REF!,'8-RLBF (No 30%)'!#REF!</definedName>
    <definedName name="Z_07F1F502_9FC7_4878_A746_52E1655BD4FA_.wvu.Cols" localSheetId="23" hidden="1">'9-SpBF'!#REF!,'9-SpBF'!#REF!</definedName>
    <definedName name="Z_07F1F502_9FC7_4878_A746_52E1655BD4FA_.wvu.Cols" localSheetId="10" hidden="1">'TEST SUMMARY'!$I:$I,'TEST SUMMARY'!#REF!</definedName>
    <definedName name="Z_07F1F502_9FC7_4878_A746_52E1655BD4FA_.wvu.Cols" localSheetId="3" hidden="1">'Worksheets Included'!#REF!,'Worksheets Included'!#REF!</definedName>
    <definedName name="Z_07F1F502_9FC7_4878_A746_52E1655BD4FA_.wvu.PrintArea" localSheetId="10" hidden="1">'TEST SUMMARY'!$B$5:$AM$30</definedName>
    <definedName name="Z_07F1F502_9FC7_4878_A746_52E1655BD4FA_.wvu.PrintArea" localSheetId="3" hidden="1">'Worksheets Included'!$A$1:$C$20</definedName>
  </definedNames>
  <calcPr calcId="152511"/>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C32" i="177" l="1"/>
  <c r="P11" i="182" l="1"/>
  <c r="Q11" i="183"/>
  <c r="J42" i="182" l="1"/>
  <c r="P39" i="183" l="1"/>
  <c r="O39" i="183"/>
  <c r="L39" i="183"/>
  <c r="M39" i="183" s="1"/>
  <c r="K39" i="183"/>
  <c r="P38" i="183"/>
  <c r="O38" i="183"/>
  <c r="L38" i="183"/>
  <c r="M38" i="183" s="1"/>
  <c r="K38" i="183"/>
  <c r="P37" i="183"/>
  <c r="O37" i="183"/>
  <c r="L37" i="183"/>
  <c r="M37" i="183" s="1"/>
  <c r="K37" i="183"/>
  <c r="P36" i="183"/>
  <c r="O36" i="183"/>
  <c r="L36" i="183"/>
  <c r="M36" i="183" s="1"/>
  <c r="K36" i="183"/>
  <c r="O35" i="183"/>
  <c r="P34" i="183"/>
  <c r="O34" i="183"/>
  <c r="L34" i="183"/>
  <c r="O33" i="183"/>
  <c r="O32" i="183"/>
  <c r="B32" i="183"/>
  <c r="B33" i="183" s="1"/>
  <c r="O31" i="183"/>
  <c r="P31" i="183" s="1"/>
  <c r="Q31" i="183" s="1"/>
  <c r="J31" i="183"/>
  <c r="K31" i="183" s="1"/>
  <c r="O30" i="183"/>
  <c r="P30" i="183" s="1"/>
  <c r="Q30" i="183" s="1"/>
  <c r="B30" i="183"/>
  <c r="O29" i="183"/>
  <c r="P29" i="183" s="1"/>
  <c r="Q29" i="183" s="1"/>
  <c r="O28" i="183"/>
  <c r="O27" i="183"/>
  <c r="O26" i="183"/>
  <c r="P26" i="183" s="1"/>
  <c r="Q26" i="183" s="1"/>
  <c r="O25" i="183"/>
  <c r="P25" i="183" s="1"/>
  <c r="O24" i="183"/>
  <c r="O23" i="183"/>
  <c r="P23" i="183" s="1"/>
  <c r="O22" i="183"/>
  <c r="O21" i="183"/>
  <c r="P21" i="183" s="1"/>
  <c r="O20" i="183"/>
  <c r="P20" i="183" s="1"/>
  <c r="O19" i="183"/>
  <c r="P19" i="183" s="1"/>
  <c r="Q19" i="183" s="1"/>
  <c r="O18" i="183"/>
  <c r="P18" i="183" s="1"/>
  <c r="Q10" i="183"/>
  <c r="D9" i="183"/>
  <c r="G18" i="183" s="1"/>
  <c r="Q6" i="183"/>
  <c r="N31" i="182"/>
  <c r="O46" i="182"/>
  <c r="N46" i="182"/>
  <c r="P46" i="182" s="1"/>
  <c r="K46" i="182"/>
  <c r="L46" i="182" s="1"/>
  <c r="O45" i="182"/>
  <c r="N45" i="182"/>
  <c r="P45" i="182" s="1"/>
  <c r="L45" i="182"/>
  <c r="K45" i="182"/>
  <c r="J45" i="182"/>
  <c r="O44" i="182"/>
  <c r="N44" i="182"/>
  <c r="P44" i="182" s="1"/>
  <c r="K44" i="182"/>
  <c r="L44" i="182" s="1"/>
  <c r="J44" i="182"/>
  <c r="N43" i="182"/>
  <c r="O43" i="182" s="1"/>
  <c r="P43" i="182" s="1"/>
  <c r="K43" i="182"/>
  <c r="L43" i="182" s="1"/>
  <c r="J43" i="182"/>
  <c r="O42" i="182"/>
  <c r="N42" i="182"/>
  <c r="K42" i="182"/>
  <c r="L42" i="182" s="1"/>
  <c r="N41" i="182"/>
  <c r="O41" i="182" s="1"/>
  <c r="K41" i="182"/>
  <c r="L41" i="182" s="1"/>
  <c r="J41" i="182"/>
  <c r="N40" i="182"/>
  <c r="K40" i="182"/>
  <c r="L40" i="182" s="1"/>
  <c r="O39" i="182"/>
  <c r="N39" i="182"/>
  <c r="K39" i="182"/>
  <c r="L39" i="182" s="1"/>
  <c r="J39" i="182"/>
  <c r="O38" i="182"/>
  <c r="N38" i="182"/>
  <c r="K38" i="182"/>
  <c r="L38" i="182" s="1"/>
  <c r="J38" i="182"/>
  <c r="O37" i="182"/>
  <c r="N37" i="182"/>
  <c r="P37" i="182" s="1"/>
  <c r="K37" i="182"/>
  <c r="L37" i="182" s="1"/>
  <c r="J37" i="182"/>
  <c r="O36" i="182"/>
  <c r="N36" i="182"/>
  <c r="P36" i="182" s="1"/>
  <c r="K36" i="182"/>
  <c r="L36" i="182" s="1"/>
  <c r="J36" i="182"/>
  <c r="J35" i="182" s="1"/>
  <c r="N35" i="182"/>
  <c r="O34" i="182"/>
  <c r="N34" i="182"/>
  <c r="K34" i="182"/>
  <c r="N33" i="182"/>
  <c r="O33" i="182" s="1"/>
  <c r="B33" i="182"/>
  <c r="N32" i="182"/>
  <c r="K31" i="182"/>
  <c r="L31" i="182" s="1"/>
  <c r="N30" i="182"/>
  <c r="O30" i="182" s="1"/>
  <c r="P30" i="182" s="1"/>
  <c r="N29" i="182"/>
  <c r="O29" i="182" s="1"/>
  <c r="P29" i="182" s="1"/>
  <c r="N28" i="182"/>
  <c r="N27" i="182"/>
  <c r="N26" i="182"/>
  <c r="N25" i="182"/>
  <c r="E25" i="182"/>
  <c r="N24" i="182"/>
  <c r="O24" i="182" s="1"/>
  <c r="N23" i="182"/>
  <c r="N22" i="182"/>
  <c r="O22" i="182" s="1"/>
  <c r="N21" i="182"/>
  <c r="O21" i="182" s="1"/>
  <c r="P21" i="182" s="1"/>
  <c r="N20" i="182"/>
  <c r="O20" i="182" s="1"/>
  <c r="P20" i="182" s="1"/>
  <c r="N19" i="182"/>
  <c r="O19" i="182" s="1"/>
  <c r="N18" i="182"/>
  <c r="O18" i="182" s="1"/>
  <c r="L18" i="182"/>
  <c r="K18" i="182"/>
  <c r="J18" i="182"/>
  <c r="N17" i="182"/>
  <c r="O17" i="182" s="1"/>
  <c r="K17" i="182"/>
  <c r="L17" i="182" s="1"/>
  <c r="J17" i="182"/>
  <c r="N16" i="182"/>
  <c r="O16" i="182" s="1"/>
  <c r="K16" i="182"/>
  <c r="J16" i="182"/>
  <c r="P10" i="182"/>
  <c r="D9" i="182"/>
  <c r="P6" i="182"/>
  <c r="D10" i="182" s="1"/>
  <c r="P42" i="182" l="1"/>
  <c r="P38" i="182"/>
  <c r="P39" i="182"/>
  <c r="D10" i="183"/>
  <c r="I34" i="183" s="1"/>
  <c r="M34" i="183" s="1"/>
  <c r="Q39" i="183"/>
  <c r="Q36" i="183"/>
  <c r="Q38" i="183"/>
  <c r="E25" i="183"/>
  <c r="Q37" i="183"/>
  <c r="Q25" i="183"/>
  <c r="Q34" i="183"/>
  <c r="Q18" i="183"/>
  <c r="L31" i="183"/>
  <c r="M31" i="183"/>
  <c r="P32" i="183"/>
  <c r="Q32" i="183" s="1"/>
  <c r="P27" i="183"/>
  <c r="Q27" i="183" s="1"/>
  <c r="P22" i="183"/>
  <c r="Q22" i="183" s="1"/>
  <c r="P33" i="183"/>
  <c r="Q33" i="183" s="1"/>
  <c r="Q23" i="183"/>
  <c r="P28" i="183"/>
  <c r="Q28" i="183" s="1"/>
  <c r="Q20" i="183"/>
  <c r="Q21" i="183"/>
  <c r="P24" i="183"/>
  <c r="Q24" i="183" s="1"/>
  <c r="P34" i="182"/>
  <c r="P16" i="182"/>
  <c r="P22" i="182"/>
  <c r="D11" i="182"/>
  <c r="I20" i="182"/>
  <c r="I34" i="182"/>
  <c r="L34" i="182" s="1"/>
  <c r="I19" i="182"/>
  <c r="O28" i="182"/>
  <c r="P28" i="182" s="1"/>
  <c r="P19" i="182"/>
  <c r="O27" i="182"/>
  <c r="P27" i="182" s="1"/>
  <c r="O26" i="182"/>
  <c r="P26" i="182" s="1"/>
  <c r="L16" i="182"/>
  <c r="O25" i="182"/>
  <c r="P25" i="182" s="1"/>
  <c r="O32" i="182"/>
  <c r="P32" i="182" s="1"/>
  <c r="P41" i="182"/>
  <c r="P17" i="182"/>
  <c r="O23" i="182"/>
  <c r="P23" i="182" s="1"/>
  <c r="P24" i="182"/>
  <c r="O31" i="182"/>
  <c r="P31" i="182" s="1"/>
  <c r="P33" i="182"/>
  <c r="O40" i="182"/>
  <c r="P40" i="182" s="1"/>
  <c r="P18" i="182"/>
  <c r="K34" i="183" l="1"/>
  <c r="I20" i="183"/>
  <c r="I19" i="183"/>
  <c r="J19" i="183" s="1"/>
  <c r="K19" i="183" s="1"/>
  <c r="L19" i="183" s="1"/>
  <c r="D11" i="183"/>
  <c r="I33" i="183" s="1"/>
  <c r="P41" i="183"/>
  <c r="Q40" i="183" s="1"/>
  <c r="J20" i="183"/>
  <c r="K20" i="183" s="1"/>
  <c r="Q35" i="183"/>
  <c r="P35" i="182"/>
  <c r="O48" i="182"/>
  <c r="P47" i="182" s="1"/>
  <c r="I33" i="182"/>
  <c r="I32" i="182"/>
  <c r="I25" i="182"/>
  <c r="I24" i="182"/>
  <c r="I22" i="182"/>
  <c r="I26" i="182"/>
  <c r="I28" i="182"/>
  <c r="I27" i="182"/>
  <c r="I29" i="182"/>
  <c r="I30" i="182"/>
  <c r="I21" i="182"/>
  <c r="I23" i="182"/>
  <c r="K19" i="182"/>
  <c r="K20" i="182"/>
  <c r="L20" i="182" s="1"/>
  <c r="I35" i="182" l="1"/>
  <c r="I49" i="182" s="1"/>
  <c r="I29" i="183"/>
  <c r="J29" i="183" s="1"/>
  <c r="K29" i="183" s="1"/>
  <c r="I26" i="183"/>
  <c r="J26" i="183" s="1"/>
  <c r="K26" i="183" s="1"/>
  <c r="I25" i="183"/>
  <c r="J25" i="183" s="1"/>
  <c r="K25" i="183" s="1"/>
  <c r="I27" i="183"/>
  <c r="J27" i="183" s="1"/>
  <c r="K27" i="183" s="1"/>
  <c r="I30" i="183"/>
  <c r="K30" i="183" s="1"/>
  <c r="L30" i="183" s="1"/>
  <c r="M30" i="183" s="1"/>
  <c r="I23" i="183"/>
  <c r="K23" i="183" s="1"/>
  <c r="L23" i="183" s="1"/>
  <c r="M23" i="183" s="1"/>
  <c r="I32" i="183"/>
  <c r="J32" i="183" s="1"/>
  <c r="K32" i="183" s="1"/>
  <c r="I24" i="183"/>
  <c r="K24" i="183" s="1"/>
  <c r="L24" i="183" s="1"/>
  <c r="M24" i="183" s="1"/>
  <c r="I21" i="183"/>
  <c r="J21" i="183" s="1"/>
  <c r="I28" i="183"/>
  <c r="J28" i="183" s="1"/>
  <c r="K28" i="183" s="1"/>
  <c r="I22" i="183"/>
  <c r="J22" i="183" s="1"/>
  <c r="K22" i="183" s="1"/>
  <c r="Q42" i="183"/>
  <c r="J33" i="183"/>
  <c r="K33" i="183" s="1"/>
  <c r="L20" i="183"/>
  <c r="M20" i="183" s="1"/>
  <c r="M19" i="183"/>
  <c r="P49" i="182"/>
  <c r="K28" i="182"/>
  <c r="L28" i="182" s="1"/>
  <c r="K26" i="182"/>
  <c r="L26" i="182" s="1"/>
  <c r="L19" i="182"/>
  <c r="K22" i="182"/>
  <c r="L22" i="182" s="1"/>
  <c r="K23" i="182"/>
  <c r="L23" i="182" s="1"/>
  <c r="K24" i="182"/>
  <c r="L24" i="182" s="1"/>
  <c r="K21" i="182"/>
  <c r="L21" i="182" s="1"/>
  <c r="K25" i="182"/>
  <c r="L25" i="182" s="1"/>
  <c r="K30" i="182"/>
  <c r="L30" i="182" s="1"/>
  <c r="K32" i="182"/>
  <c r="L32" i="182" s="1"/>
  <c r="K29" i="182"/>
  <c r="L29" i="182" s="1"/>
  <c r="K33" i="182"/>
  <c r="L33" i="182" s="1"/>
  <c r="K27" i="182"/>
  <c r="L27" i="182"/>
  <c r="J15" i="182" l="1"/>
  <c r="J22" i="182" s="1"/>
  <c r="N15" i="182"/>
  <c r="L35" i="182"/>
  <c r="I35" i="183"/>
  <c r="I42" i="183" s="1"/>
  <c r="J41" i="183"/>
  <c r="K18" i="183" s="1"/>
  <c r="K21" i="183"/>
  <c r="L21" i="183" s="1"/>
  <c r="L25" i="183"/>
  <c r="M25" i="183" s="1"/>
  <c r="L32" i="183"/>
  <c r="M32" i="183" s="1"/>
  <c r="L29" i="183"/>
  <c r="M29" i="183" s="1"/>
  <c r="L33" i="183"/>
  <c r="M33" i="183" s="1"/>
  <c r="L27" i="183"/>
  <c r="M27" i="183" s="1"/>
  <c r="L26" i="183"/>
  <c r="M26" i="183" s="1"/>
  <c r="L28" i="183"/>
  <c r="M28" i="183" s="1"/>
  <c r="L22" i="183"/>
  <c r="M22" i="183" s="1"/>
  <c r="J27" i="182"/>
  <c r="J33" i="182"/>
  <c r="J19" i="182"/>
  <c r="K48" i="182"/>
  <c r="L47" i="182" s="1"/>
  <c r="J29" i="182" l="1"/>
  <c r="J28" i="182"/>
  <c r="J21" i="182"/>
  <c r="J24" i="182"/>
  <c r="J26" i="182"/>
  <c r="J25" i="182"/>
  <c r="J30" i="182"/>
  <c r="J31" i="182"/>
  <c r="J34" i="182"/>
  <c r="J23" i="182"/>
  <c r="J32" i="182"/>
  <c r="J20" i="182"/>
  <c r="L49" i="182"/>
  <c r="K35" i="183"/>
  <c r="K42" i="183" s="1"/>
  <c r="M21" i="183"/>
  <c r="L18" i="183"/>
  <c r="M18" i="183" s="1"/>
  <c r="O15" i="183" l="1"/>
  <c r="M35" i="183"/>
  <c r="L41" i="183"/>
  <c r="M40" i="183" s="1"/>
  <c r="M42" i="183" l="1"/>
  <c r="J38" i="177" l="1"/>
  <c r="J37" i="177"/>
  <c r="K39" i="177" l="1"/>
  <c r="M43" i="177" l="1"/>
  <c r="K41" i="177" l="1"/>
  <c r="O18" i="177"/>
  <c r="O17" i="177" l="1"/>
  <c r="O42" i="177"/>
  <c r="O41" i="177"/>
  <c r="O40" i="177"/>
  <c r="O39" i="177"/>
  <c r="O38" i="177"/>
  <c r="O37" i="177"/>
  <c r="O36" i="177"/>
  <c r="O35" i="177"/>
  <c r="O33" i="177"/>
  <c r="O32" i="177"/>
  <c r="O19" i="177"/>
  <c r="O20" i="177"/>
  <c r="O21" i="177"/>
  <c r="O22" i="177"/>
  <c r="O23" i="177"/>
  <c r="O24" i="177"/>
  <c r="O25" i="177"/>
  <c r="O26" i="177"/>
  <c r="O27" i="177"/>
  <c r="O28" i="177"/>
  <c r="O29" i="177"/>
  <c r="O30" i="177"/>
  <c r="O31" i="177"/>
  <c r="O43" i="177"/>
  <c r="O34" i="177"/>
  <c r="N34" i="177"/>
  <c r="O11" i="177" l="1"/>
  <c r="F24" i="177" s="1"/>
  <c r="L42" i="177"/>
  <c r="K42" i="177"/>
  <c r="L41" i="177"/>
  <c r="M41" i="177" s="1"/>
  <c r="K40" i="177"/>
  <c r="M40" i="177" s="1"/>
  <c r="L39" i="177"/>
  <c r="M39" i="177" s="1"/>
  <c r="L38" i="177"/>
  <c r="K38" i="177"/>
  <c r="M38" i="177" s="1"/>
  <c r="L37" i="177"/>
  <c r="K37" i="177"/>
  <c r="L36" i="177"/>
  <c r="K36" i="177"/>
  <c r="M36" i="177" s="1"/>
  <c r="L35" i="177"/>
  <c r="K35" i="177"/>
  <c r="L32" i="177"/>
  <c r="L31" i="177"/>
  <c r="L30" i="177"/>
  <c r="M30" i="177" s="1"/>
  <c r="L29" i="177"/>
  <c r="L28" i="177"/>
  <c r="M28" i="177" s="1"/>
  <c r="L27" i="177"/>
  <c r="M27" i="177" s="1"/>
  <c r="L26" i="177"/>
  <c r="L25" i="177"/>
  <c r="K25" i="177"/>
  <c r="L24" i="177"/>
  <c r="K24" i="177"/>
  <c r="L23" i="177"/>
  <c r="M23" i="177" s="1"/>
  <c r="L22" i="177"/>
  <c r="M22" i="177" s="1"/>
  <c r="L21" i="177"/>
  <c r="M21" i="177" s="1"/>
  <c r="L20" i="177"/>
  <c r="M20" i="177" s="1"/>
  <c r="L19" i="177"/>
  <c r="L18" i="177"/>
  <c r="M18" i="177" s="1"/>
  <c r="L17" i="177"/>
  <c r="O10" i="177"/>
  <c r="E9" i="177"/>
  <c r="O6" i="177"/>
  <c r="M35" i="177" l="1"/>
  <c r="M37" i="177"/>
  <c r="E10" i="177"/>
  <c r="E11" i="177" s="1"/>
  <c r="J21" i="177" s="1"/>
  <c r="M42" i="177"/>
  <c r="M24" i="177"/>
  <c r="M25" i="177"/>
  <c r="J33" i="177"/>
  <c r="O15" i="177"/>
  <c r="L34" i="177"/>
  <c r="L44" i="177" s="1"/>
  <c r="N19" i="175"/>
  <c r="J19" i="177" l="1"/>
  <c r="K19" i="177" s="1"/>
  <c r="M19" i="177" s="1"/>
  <c r="J18" i="177"/>
  <c r="K33" i="177"/>
  <c r="M33" i="177" s="1"/>
  <c r="K26" i="177"/>
  <c r="M26" i="177" s="1"/>
  <c r="J28" i="177"/>
  <c r="J26" i="177"/>
  <c r="J32" i="177"/>
  <c r="K32" i="177" s="1"/>
  <c r="M32" i="177" s="1"/>
  <c r="J22" i="177"/>
  <c r="J27" i="177"/>
  <c r="J23" i="177"/>
  <c r="J29" i="177"/>
  <c r="K29" i="177"/>
  <c r="M29" i="177" s="1"/>
  <c r="J25" i="177"/>
  <c r="J24" i="177"/>
  <c r="J20" i="177"/>
  <c r="J31" i="177"/>
  <c r="K31" i="177" s="1"/>
  <c r="M31" i="177" s="1"/>
  <c r="O40" i="176"/>
  <c r="K40" i="176"/>
  <c r="L40" i="176" s="1"/>
  <c r="O39" i="176"/>
  <c r="K39" i="176"/>
  <c r="L39" i="176" s="1"/>
  <c r="O38" i="176"/>
  <c r="K38" i="176"/>
  <c r="L38" i="176" s="1"/>
  <c r="O37" i="176"/>
  <c r="K37" i="176"/>
  <c r="L37" i="176" s="1"/>
  <c r="O36" i="176"/>
  <c r="K36" i="176"/>
  <c r="L36" i="176" s="1"/>
  <c r="O34" i="176"/>
  <c r="K34" i="176"/>
  <c r="C33" i="176"/>
  <c r="K31" i="176"/>
  <c r="L31" i="176" s="1"/>
  <c r="P10" i="176"/>
  <c r="E9" i="176"/>
  <c r="P6" i="176"/>
  <c r="O40" i="175"/>
  <c r="N40" i="175"/>
  <c r="K40" i="175"/>
  <c r="L40" i="175" s="1"/>
  <c r="O39" i="175"/>
  <c r="N39" i="175"/>
  <c r="K39" i="175"/>
  <c r="L39" i="175" s="1"/>
  <c r="O38" i="175"/>
  <c r="N38" i="175"/>
  <c r="K38" i="175"/>
  <c r="L38" i="175" s="1"/>
  <c r="O37" i="175"/>
  <c r="N37" i="175"/>
  <c r="K37" i="175"/>
  <c r="L37" i="175" s="1"/>
  <c r="O36" i="175"/>
  <c r="N36" i="175"/>
  <c r="K36" i="175"/>
  <c r="L36" i="175" s="1"/>
  <c r="O34" i="175"/>
  <c r="K34" i="175"/>
  <c r="C33" i="175"/>
  <c r="N31" i="175"/>
  <c r="K31" i="175"/>
  <c r="L31" i="175" s="1"/>
  <c r="C29" i="175"/>
  <c r="P10" i="175"/>
  <c r="E9" i="175"/>
  <c r="P6" i="175"/>
  <c r="E4" i="175"/>
  <c r="J34" i="177" l="1"/>
  <c r="J46" i="177" s="1"/>
  <c r="P38" i="175"/>
  <c r="E10" i="176"/>
  <c r="J34" i="176" s="1"/>
  <c r="L34" i="176" s="1"/>
  <c r="P39" i="175"/>
  <c r="P40" i="175"/>
  <c r="P36" i="175"/>
  <c r="P37" i="175"/>
  <c r="E10" i="175"/>
  <c r="N35" i="175"/>
  <c r="O31" i="175"/>
  <c r="P31" i="175" s="1"/>
  <c r="J20" i="176" l="1"/>
  <c r="E11" i="176"/>
  <c r="J29" i="176" s="1"/>
  <c r="J19" i="176"/>
  <c r="K19" i="176" s="1"/>
  <c r="L19" i="176" s="1"/>
  <c r="K20" i="176"/>
  <c r="L20" i="176" s="1"/>
  <c r="J20" i="175"/>
  <c r="E11" i="175"/>
  <c r="J34" i="175"/>
  <c r="J19" i="175"/>
  <c r="J22" i="176" l="1"/>
  <c r="J23" i="176"/>
  <c r="K23" i="176" s="1"/>
  <c r="L23" i="176" s="1"/>
  <c r="J28" i="176"/>
  <c r="K28" i="176" s="1"/>
  <c r="L28" i="176" s="1"/>
  <c r="J33" i="176"/>
  <c r="J26" i="176"/>
  <c r="K26" i="176" s="1"/>
  <c r="L26" i="176" s="1"/>
  <c r="J30" i="176"/>
  <c r="K30" i="176" s="1"/>
  <c r="L30" i="176" s="1"/>
  <c r="J21" i="176"/>
  <c r="J24" i="176"/>
  <c r="K24" i="176" s="1"/>
  <c r="L24" i="176" s="1"/>
  <c r="J27" i="176"/>
  <c r="J32" i="176"/>
  <c r="K32" i="176" s="1"/>
  <c r="L32" i="176" s="1"/>
  <c r="J25" i="176"/>
  <c r="K25" i="176" s="1"/>
  <c r="L25" i="176" s="1"/>
  <c r="K33" i="176"/>
  <c r="L33" i="176" s="1"/>
  <c r="K22" i="176"/>
  <c r="L22" i="176" s="1"/>
  <c r="K29" i="176"/>
  <c r="L29" i="176" s="1"/>
  <c r="K21" i="176"/>
  <c r="L21" i="176" s="1"/>
  <c r="K27" i="176"/>
  <c r="L27" i="176" s="1"/>
  <c r="J25" i="175"/>
  <c r="J24" i="175"/>
  <c r="J30" i="175"/>
  <c r="J29" i="175"/>
  <c r="J28" i="175"/>
  <c r="J23" i="175"/>
  <c r="J26" i="175"/>
  <c r="J21" i="175"/>
  <c r="J33" i="175"/>
  <c r="J32" i="175"/>
  <c r="J27" i="175"/>
  <c r="J22" i="175"/>
  <c r="K20" i="175"/>
  <c r="L20" i="175" s="1"/>
  <c r="K19" i="175"/>
  <c r="L34" i="175"/>
  <c r="J35" i="176" l="1"/>
  <c r="J43" i="176" s="1"/>
  <c r="N15" i="176" s="1"/>
  <c r="N23" i="176" s="1"/>
  <c r="O23" i="176" s="1"/>
  <c r="P23" i="176" s="1"/>
  <c r="K42" i="176"/>
  <c r="L41" i="176" s="1"/>
  <c r="L35" i="176"/>
  <c r="K27" i="175"/>
  <c r="L27" i="175" s="1"/>
  <c r="K26" i="175"/>
  <c r="L26" i="175" s="1"/>
  <c r="K30" i="175"/>
  <c r="L30" i="175" s="1"/>
  <c r="L19" i="175"/>
  <c r="K32" i="175"/>
  <c r="L32" i="175" s="1"/>
  <c r="K23" i="175"/>
  <c r="K24" i="175"/>
  <c r="L24" i="175" s="1"/>
  <c r="K33" i="175"/>
  <c r="L33" i="175" s="1"/>
  <c r="K28" i="175"/>
  <c r="L28" i="175" s="1"/>
  <c r="K25" i="175"/>
  <c r="L25" i="175" s="1"/>
  <c r="J35" i="175"/>
  <c r="K22" i="175"/>
  <c r="L22" i="175" s="1"/>
  <c r="K21" i="175"/>
  <c r="L21" i="175" s="1"/>
  <c r="K29" i="175"/>
  <c r="L29" i="175" s="1"/>
  <c r="N29" i="176" l="1"/>
  <c r="O29" i="176" s="1"/>
  <c r="P29" i="176" s="1"/>
  <c r="N26" i="176"/>
  <c r="O26" i="176" s="1"/>
  <c r="P26" i="176" s="1"/>
  <c r="N28" i="176"/>
  <c r="O28" i="176" s="1"/>
  <c r="P28" i="176" s="1"/>
  <c r="N32" i="176"/>
  <c r="O32" i="176" s="1"/>
  <c r="P32" i="176" s="1"/>
  <c r="N31" i="176"/>
  <c r="O31" i="176" s="1"/>
  <c r="P31" i="176" s="1"/>
  <c r="N27" i="176"/>
  <c r="O27" i="176" s="1"/>
  <c r="P27" i="176" s="1"/>
  <c r="N34" i="176"/>
  <c r="P34" i="176" s="1"/>
  <c r="N33" i="176"/>
  <c r="O33" i="176" s="1"/>
  <c r="P33" i="176" s="1"/>
  <c r="N37" i="176"/>
  <c r="P37" i="176" s="1"/>
  <c r="N40" i="176"/>
  <c r="P40" i="176" s="1"/>
  <c r="N39" i="176"/>
  <c r="P39" i="176" s="1"/>
  <c r="N38" i="176"/>
  <c r="P38" i="176" s="1"/>
  <c r="N20" i="176"/>
  <c r="O20" i="176" s="1"/>
  <c r="P20" i="176" s="1"/>
  <c r="N25" i="176"/>
  <c r="O25" i="176" s="1"/>
  <c r="P25" i="176" s="1"/>
  <c r="N22" i="176"/>
  <c r="O22" i="176" s="1"/>
  <c r="P22" i="176" s="1"/>
  <c r="N19" i="176"/>
  <c r="O19" i="176" s="1"/>
  <c r="P19" i="176" s="1"/>
  <c r="N24" i="176"/>
  <c r="O24" i="176" s="1"/>
  <c r="P24" i="176" s="1"/>
  <c r="N21" i="176"/>
  <c r="O21" i="176" s="1"/>
  <c r="P21" i="176" s="1"/>
  <c r="N36" i="176"/>
  <c r="P36" i="176" s="1"/>
  <c r="N30" i="176"/>
  <c r="O30" i="176" s="1"/>
  <c r="P30" i="176" s="1"/>
  <c r="L43" i="176"/>
  <c r="K42" i="175"/>
  <c r="L41" i="175" s="1"/>
  <c r="L23" i="175"/>
  <c r="J43" i="175"/>
  <c r="N15" i="175"/>
  <c r="N35" i="176" l="1"/>
  <c r="P35" i="176"/>
  <c r="O42" i="176"/>
  <c r="P41" i="176" s="1"/>
  <c r="N34" i="175"/>
  <c r="P34" i="175" s="1"/>
  <c r="N20" i="175"/>
  <c r="N25" i="175"/>
  <c r="N29" i="175"/>
  <c r="N32" i="175"/>
  <c r="N24" i="175"/>
  <c r="N27" i="175"/>
  <c r="N26" i="175"/>
  <c r="N23" i="175"/>
  <c r="N33" i="175"/>
  <c r="N21" i="175"/>
  <c r="N30" i="175"/>
  <c r="N28" i="175"/>
  <c r="N22" i="175"/>
  <c r="L35" i="175"/>
  <c r="L43" i="175" s="1"/>
  <c r="P43" i="176" l="1"/>
  <c r="O21" i="175"/>
  <c r="P21" i="175" s="1"/>
  <c r="O25" i="175"/>
  <c r="P25" i="175" s="1"/>
  <c r="O33" i="175"/>
  <c r="P33" i="175" s="1"/>
  <c r="O24" i="175"/>
  <c r="P24" i="175" s="1"/>
  <c r="O19" i="175"/>
  <c r="P19" i="175" s="1"/>
  <c r="O28" i="175"/>
  <c r="P28" i="175" s="1"/>
  <c r="O23" i="175"/>
  <c r="P23" i="175" s="1"/>
  <c r="O32" i="175"/>
  <c r="P32" i="175" s="1"/>
  <c r="O20" i="175"/>
  <c r="P20" i="175" s="1"/>
  <c r="O27" i="175"/>
  <c r="P27" i="175" s="1"/>
  <c r="O22" i="175"/>
  <c r="P22" i="175" s="1"/>
  <c r="O30" i="175"/>
  <c r="P30" i="175" s="1"/>
  <c r="O26" i="175"/>
  <c r="P26" i="175" s="1"/>
  <c r="O29" i="175"/>
  <c r="P29" i="175" s="1"/>
  <c r="P35" i="175" l="1"/>
  <c r="O42" i="175"/>
  <c r="P41" i="175" s="1"/>
  <c r="P43" i="175" l="1"/>
  <c r="B28" i="138" l="1"/>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P11" i="157" l="1"/>
  <c r="P11" i="158" s="1"/>
  <c r="E25" i="158" s="1"/>
  <c r="P11" i="176"/>
  <c r="F25" i="176" s="1"/>
  <c r="P11" i="175"/>
  <c r="F25" i="175" s="1"/>
  <c r="Q11" i="154"/>
  <c r="E25" i="154" s="1"/>
  <c r="O11" i="142"/>
  <c r="E25" i="142" s="1"/>
  <c r="O11" i="124"/>
  <c r="E25" i="124"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E25" i="157" l="1"/>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K17" i="159"/>
  <c r="L17" i="159" s="1"/>
  <c r="V17" i="159" s="1"/>
  <c r="J17" i="159"/>
  <c r="K16" i="159"/>
  <c r="J16" i="159"/>
  <c r="P10" i="159"/>
  <c r="D9" i="159"/>
  <c r="AB7"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10" i="124" s="1"/>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V8" i="52" l="1"/>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U29" i="120" s="1"/>
  <c r="M23" i="9"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W40" i="121" s="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I33" i="136"/>
  <c r="I27" i="136"/>
  <c r="I26" i="136"/>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D11" i="104" l="1"/>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8" i="114"/>
  <c r="J28" i="114" s="1"/>
  <c r="K28" i="114" s="1"/>
  <c r="U28" i="114" s="1"/>
  <c r="I32"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7"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K26" i="52" l="1"/>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R33" i="52"/>
  <c r="R45" i="52" s="1"/>
  <c r="V10" i="52"/>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K17" i="177" l="1"/>
  <c r="K34" i="177" l="1"/>
  <c r="K46" i="177" s="1"/>
  <c r="M17" i="177" s="1"/>
  <c r="M34" i="177" l="1"/>
  <c r="M46" i="177" s="1"/>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rcabral</author>
  </authors>
  <commentLis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14.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1"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 ref="D37" authorId="1" shapeId="0">
      <text>
        <r>
          <rPr>
            <b/>
            <sz val="10"/>
            <color indexed="81"/>
            <rFont val="Tahoma"/>
            <family val="2"/>
          </rPr>
          <t>ASSESSED FOR EVERY CONVICTION</t>
        </r>
        <r>
          <rPr>
            <sz val="10"/>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1"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 ref="D37" authorId="1" shapeId="0">
      <text>
        <r>
          <rPr>
            <b/>
            <sz val="10"/>
            <color indexed="81"/>
            <rFont val="Tahoma"/>
            <family val="2"/>
          </rPr>
          <t>ASSESSED FOR EVERY CONVICTION</t>
        </r>
        <r>
          <rPr>
            <sz val="10"/>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20.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2.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3.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0" authorId="1" shapeId="0">
      <text>
        <r>
          <rPr>
            <b/>
            <sz val="10"/>
            <color indexed="81"/>
            <rFont val="Tahoma"/>
            <family val="2"/>
          </rPr>
          <t>ASSESSED FOR EVERY CONVICTION OF VC VIOLATION</t>
        </r>
        <r>
          <rPr>
            <sz val="10"/>
            <color indexed="81"/>
            <rFont val="Tahoma"/>
            <family val="2"/>
          </rPr>
          <t xml:space="preserve">
</t>
        </r>
      </text>
    </comment>
    <comment ref="D35"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sharedStrings.xml><?xml version="1.0" encoding="utf-8"?>
<sst xmlns="http://schemas.openxmlformats.org/spreadsheetml/2006/main" count="4042" uniqueCount="586">
  <si>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</si>
  <si>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</si>
  <si>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</si>
  <si>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</si>
  <si>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</si>
  <si>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</si>
  <si>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</si>
  <si>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</si>
  <si>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</si>
  <si>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</si>
  <si>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</si>
  <si>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</si>
  <si>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</si>
  <si>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</si>
  <si>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</si>
  <si>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</si>
  <si>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</si>
  <si>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</si>
  <si>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</si>
  <si>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</si>
  <si>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</si>
  <si>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</si>
  <si>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</si>
  <si>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</si>
  <si>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</si>
  <si>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</si>
  <si>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</si>
  <si>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</si>
  <si>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</si>
  <si>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</si>
  <si>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</si>
  <si>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</si>
  <si>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</si>
  <si>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</si>
  <si>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</si>
  <si>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</si>
  <si>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</si>
  <si>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</si>
  <si>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</si>
  <si>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</si>
  <si>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</si>
  <si>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</si>
  <si>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</si>
  <si>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</si>
  <si>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</si>
  <si>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</si>
  <si>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</si>
  <si>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</si>
  <si>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</si>
  <si>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</si>
  <si>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</si>
  <si>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</si>
  <si>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</si>
  <si>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</si>
  <si>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</si>
  <si>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</si>
  <si>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</si>
  <si>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</si>
  <si>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</si>
  <si>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</si>
  <si>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</si>
  <si>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</si>
  <si>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</si>
  <si>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</si>
  <si>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</si>
  <si>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</si>
  <si>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</si>
  <si>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</si>
  <si>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</si>
  <si>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</si>
  <si>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</si>
  <si>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</si>
  <si>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</si>
  <si>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</si>
  <si>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</si>
  <si>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</si>
  <si>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</si>
  <si>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</si>
  <si>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</si>
  <si>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</si>
  <si>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</si>
  <si>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</si>
  <si>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</si>
  <si>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</si>
  <si>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</si>
  <si>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</si>
  <si>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</si>
  <si>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</si>
  <si>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</si>
  <si>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</si>
  <si>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</si>
  <si>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</si>
  <si>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</si>
  <si>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</si>
  <si>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</si>
  <si>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</si>
  <si>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</si>
  <si>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</si>
  <si>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</si>
  <si>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</si>
  <si>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</si>
  <si>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</si>
  <si>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</si>
  <si>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</si>
  <si>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</si>
  <si>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</si>
  <si>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</si>
  <si>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</si>
  <si>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</si>
  <si>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</si>
  <si>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</si>
  <si>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</si>
  <si>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</si>
  <si>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</si>
  <si>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</si>
  <si>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</si>
  <si>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</si>
  <si>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</si>
  <si>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</si>
  <si>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</si>
  <si>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</si>
  <si>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</si>
  <si>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</si>
  <si>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</si>
  <si>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</si>
  <si>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</si>
  <si>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</si>
  <si>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</si>
  <si>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</si>
  <si>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</si>
  <si>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</si>
  <si>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</si>
  <si>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</si>
  <si>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</si>
  <si>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</si>
  <si>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</si>
  <si>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</si>
  <si>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</si>
  <si>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</si>
  <si>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</si>
  <si>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</si>
  <si>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</si>
  <si>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</si>
  <si>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</si>
  <si>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</si>
  <si>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</si>
  <si>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</si>
  <si>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</si>
  <si>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</si>
  <si>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</si>
  <si>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</si>
  <si>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</si>
  <si>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</si>
  <si>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</si>
  <si>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</si>
  <si>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</si>
  <si>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</si>
  <si>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</si>
  <si>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</si>
  <si>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</si>
  <si>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</si>
  <si>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</si>
  <si>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</si>
  <si>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</si>
  <si>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</si>
  <si>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</si>
  <si>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</si>
  <si>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</si>
  <si>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</si>
  <si>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</si>
  <si>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</si>
  <si>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</si>
  <si>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</si>
  <si>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</si>
  <si>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</si>
  <si>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</si>
  <si>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</si>
  <si>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</si>
  <si>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</si>
  <si>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</si>
  <si>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</si>
  <si>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</si>
  <si>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</si>
  <si>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</si>
  <si>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</si>
  <si>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</si>
  <si>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</si>
  <si>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</si>
  <si>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</si>
  <si>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</si>
  <si>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</si>
  <si>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</si>
  <si>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</si>
  <si>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</si>
  <si>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</si>
  <si>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</si>
  <si>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</si>
  <si>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</si>
  <si>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</si>
  <si>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</si>
  <si>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</si>
  <si>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</si>
  <si>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</si>
  <si>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</si>
  <si>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</si>
  <si>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</si>
  <si>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</si>
  <si>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</si>
  <si>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</si>
  <si>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</si>
  <si>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</si>
  <si>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</si>
  <si>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</si>
  <si>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</si>
  <si>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</si>
  <si>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</si>
  <si>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</si>
  <si>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</si>
  <si>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</si>
  <si>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</si>
  <si>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</si>
  <si>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</si>
  <si>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</si>
  <si>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</si>
  <si>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</si>
  <si>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</si>
  <si>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</si>
  <si>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</si>
  <si>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</si>
  <si>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</si>
  <si>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</si>
  <si>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</si>
  <si>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</si>
  <si>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</si>
  <si>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</si>
  <si>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</si>
  <si>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</si>
  <si>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</si>
  <si>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</si>
  <si>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</si>
  <si>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</si>
  <si>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</si>
  <si>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</si>
  <si>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</si>
  <si>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</si>
  <si>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</si>
  <si>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</si>
  <si>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</si>
  <si>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</si>
  <si>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</si>
  <si>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</si>
  <si>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</si>
  <si>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</si>
  <si>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</si>
  <si>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</si>
  <si>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</si>
  <si>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</si>
  <si>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</si>
  <si>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</si>
  <si>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</si>
  <si>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</si>
  <si>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</si>
  <si>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</si>
  <si>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</si>
  <si>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</si>
  <si>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</si>
  <si>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</si>
  <si>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</si>
  <si>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</si>
  <si>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</si>
  <si>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</si>
  <si>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</si>
  <si>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</si>
  <si>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</si>
  <si>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</si>
  <si>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</si>
  <si>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</si>
  <si>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</si>
  <si>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</si>
  <si>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</si>
  <si>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</si>
  <si>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</si>
  <si>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</si>
  <si>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</si>
  <si>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</si>
  <si>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</si>
  <si>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</si>
  <si>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</si>
  <si>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</si>
  <si>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</si>
  <si>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</si>
  <si>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</si>
  <si>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</si>
  <si>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</si>
  <si>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</si>
  <si>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</si>
  <si>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</si>
  <si>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</si>
  <si>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</si>
  <si>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</si>
  <si>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</si>
  <si>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</si>
  <si>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</si>
  <si>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</si>
  <si>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</si>
  <si>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</si>
  <si>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</si>
  <si>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</si>
  <si>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</si>
  <si>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</si>
  <si>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</si>
  <si>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</si>
  <si>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</si>
  <si>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</si>
  <si>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</si>
  <si>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</si>
  <si>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</si>
  <si>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</si>
  <si>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</si>
  <si>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</si>
  <si>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</si>
  <si>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</si>
  <si>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</si>
  <si>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</si>
  <si>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</si>
  <si>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</si>
  <si>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</si>
  <si>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</si>
  <si>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</si>
  <si>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</si>
  <si>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</si>
  <si>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</si>
  <si>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</si>
  <si>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</si>
  <si>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</si>
  <si>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</si>
  <si>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</si>
  <si>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</si>
  <si>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</si>
  <si>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</si>
  <si>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</si>
  <si>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</si>
  <si>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</si>
  <si>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</si>
  <si>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</si>
  <si>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</si>
  <si>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</si>
  <si>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</si>
  <si>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</si>
  <si>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</si>
  <si>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</si>
  <si>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</si>
  <si>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</si>
  <si>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</si>
  <si>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</si>
  <si>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</si>
  <si>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</si>
  <si>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</si>
  <si>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</si>
  <si>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</si>
  <si>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</si>
  <si>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</si>
  <si>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</si>
  <si>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</si>
  <si>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</si>
  <si>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</si>
  <si>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</si>
  <si>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</si>
  <si>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</si>
  <si>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</si>
  <si>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</si>
  <si>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</si>
  <si>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</si>
  <si>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</si>
  <si>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</si>
  <si>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</si>
  <si>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</si>
  <si>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</si>
  <si>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</si>
  <si>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</si>
  <si>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</si>
  <si>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</si>
  <si>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</si>
  <si>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</si>
  <si>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</si>
  <si>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</si>
  <si>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</si>
  <si>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</si>
  <si>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</si>
  <si>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</si>
  <si>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</si>
  <si>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</si>
  <si>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</si>
  <si>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</si>
  <si>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</si>
  <si>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</si>
  <si>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</si>
  <si>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</si>
  <si>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</si>
  <si>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</si>
  <si>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</si>
  <si>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</si>
  <si>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</si>
  <si>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</si>
  <si>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</si>
  <si>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</si>
  <si>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</si>
  <si>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</si>
  <si>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</si>
  <si>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</si>
  <si>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</si>
  <si>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</si>
  <si>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</si>
  <si>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</si>
  <si>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</si>
  <si>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</si>
  <si>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</si>
  <si>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</si>
  <si>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</si>
  <si>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</si>
  <si>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</si>
  <si>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</si>
  <si>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</si>
  <si>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</si>
  <si>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</si>
  <si>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</si>
  <si>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</si>
  <si>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</si>
  <si>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</si>
  <si>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</si>
  <si>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</si>
  <si>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</si>
  <si>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</si>
  <si>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</si>
  <si>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</si>
  <si>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</si>
  <si>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</si>
  <si>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</si>
  <si>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</si>
  <si>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</si>
  <si>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</si>
  <si>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</si>
  <si>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</si>
  <si>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</si>
  <si>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</si>
  <si>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</si>
  <si>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</si>
  <si>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</si>
  <si>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</si>
  <si>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</si>
  <si>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</si>
  <si>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</si>
  <si>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</si>
  <si>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</si>
  <si>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</si>
  <si>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</si>
  <si>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</si>
  <si>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</si>
  <si>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</si>
  <si>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</si>
  <si>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</si>
  <si>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</si>
  <si>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</si>
  <si>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</si>
  <si>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</si>
  <si>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</si>
  <si>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</si>
  <si>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</si>
  <si>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</si>
  <si>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</si>
  <si>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</si>
  <si>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</si>
  <si>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</si>
  <si>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</si>
  <si>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</si>
  <si>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</si>
  <si>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</si>
  <si>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</si>
  <si>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</si>
  <si>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</si>
  <si>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</si>
  <si>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</si>
  <si>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</si>
  <si>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</si>
  <si>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</si>
  <si>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</si>
  <si>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</si>
  <si>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</si>
  <si>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</si>
  <si>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</si>
  <si>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</si>
  <si>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</si>
  <si>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</si>
  <si>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</si>
  <si>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</si>
  <si>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</si>
  <si>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</si>
  <si>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</si>
  <si>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</si>
  <si>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</si>
  <si>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</si>
  <si>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</si>
  <si>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</si>
  <si>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</si>
  <si>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</si>
  <si>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</si>
  <si>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</si>
  <si>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</si>
  <si>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</si>
  <si>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</si>
  <si>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</si>
  <si>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</si>
  <si>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</si>
  <si>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</si>
  <si>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</si>
  <si>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</si>
  <si>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</si>
  <si>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</si>
  <si>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</si>
  <si>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</si>
  <si>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</si>
  <si>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</si>
  <si>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</si>
  <si>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</si>
  <si>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</si>
  <si>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</si>
  <si>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</si>
  <si>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</si>
  <si>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</si>
  <si>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</si>
  <si>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</si>
  <si>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</si>
  <si>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</si>
  <si>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</si>
  <si>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</si>
  <si>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</si>
  <si>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</si>
  <si>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</si>
  <si>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</si>
  <si>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</si>
  <si>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</si>
  <si>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</si>
  <si>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</si>
  <si>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</si>
  <si>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</si>
  <si>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</si>
  <si>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</si>
  <si>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</si>
  <si>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</si>
  <si>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</si>
  <si>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</si>
  <si>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</si>
  <si>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</si>
  <si>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</si>
  <si>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</si>
  <si>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</si>
  <si>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</si>
  <si>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</si>
  <si>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</si>
  <si>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</si>
  <si>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</si>
  <si>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</si>
  <si>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</si>
  <si>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</si>
  <si>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</si>
  <si>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</si>
  <si>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</si>
  <si>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</si>
  <si>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</si>
  <si>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</si>
  <si>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</si>
  <si>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</si>
  <si>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</si>
  <si>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</si>
  <si>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</si>
  <si>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Over 65MPH (16-25MPH)</t>
  </si>
  <si>
    <t>County Sheriff</t>
  </si>
  <si>
    <t>PC 1205(e) - Install Fee OR AR Fee (BOS: Actual Costs OR up to $30)</t>
  </si>
  <si>
    <t xml:space="preserve"> TOP-DOWN </t>
  </si>
  <si>
    <t xml:space="preserve">Top Down Method 2 (Speeding Bail Forfeiture) </t>
  </si>
  <si>
    <t xml:space="preserve">Top Down Method 1 (Speeding Bail Forfeiture)  </t>
  </si>
  <si>
    <t xml:space="preserve">Case Study #1- Speeding Traffic School </t>
  </si>
  <si>
    <t xml:space="preserve"> 
TOP-DOWN </t>
  </si>
  <si>
    <t xml:space="preserve">Cast Study #3 Driving Under Influence  </t>
  </si>
  <si>
    <t xml:space="preserve">Case # 2 Red Light Bail Forfeiture  </t>
  </si>
  <si>
    <t xml:space="preserve">TOP-DOWN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</si>
</sst>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s>
  <fills count="2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right style="medium">
        <color indexed="64"/>
      </right>
      <top/>
      <bottom style="thick">
        <color indexed="64"/>
      </bottom>
      <diagonal/>
    </border>
    <border>
      <left/>
      <right style="thick">
        <color indexed="64"/>
      </right>
      <top style="thick">
        <color indexed="64"/>
      </top>
      <bottom/>
      <diagonal/>
    </border>
    <border>
      <left/>
      <right style="thick">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1711">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7" xfId="0" applyFont="1" applyFill="1" applyBorder="1" applyAlignment="1" applyProtection="1">
      <alignment vertical="center" wrapText="1"/>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166" fontId="30" fillId="0" borderId="99" xfId="0" applyNumberFormat="1" applyFont="1" applyFill="1" applyBorder="1" applyAlignment="1" applyProtection="1">
      <alignment vertical="top" wrapText="1"/>
    </xf>
    <xf numFmtId="166" fontId="36" fillId="0" borderId="99" xfId="0" applyNumberFormat="1" applyFont="1" applyFill="1" applyBorder="1" applyAlignment="1" applyProtection="1">
      <alignment vertical="top" wrapText="1"/>
    </xf>
    <xf numFmtId="2" fontId="30" fillId="0" borderId="99" xfId="0" applyNumberFormat="1" applyFont="1" applyFill="1" applyBorder="1" applyAlignment="1" applyProtection="1">
      <alignment vertical="top" wrapText="1"/>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0" fillId="10" borderId="100" xfId="0" applyFont="1" applyFill="1" applyBorder="1" applyAlignment="1" applyProtection="1">
      <alignment vertical="top"/>
      <protection locked="0"/>
    </xf>
    <xf numFmtId="0" fontId="30" fillId="10" borderId="7" xfId="0" applyFont="1" applyFill="1" applyBorder="1" applyAlignment="1" applyProtection="1">
      <alignment horizontal="center" vertical="top" wrapText="1"/>
      <protection locked="0"/>
    </xf>
    <xf numFmtId="0" fontId="30" fillId="10" borderId="31"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101"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166" fontId="30" fillId="16" borderId="3" xfId="0" applyNumberFormat="1"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166" fontId="30" fillId="16" borderId="1" xfId="0" applyNumberFormat="1"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3" fillId="10" borderId="53" xfId="0" applyFont="1" applyFill="1" applyBorder="1" applyAlignment="1" applyProtection="1">
      <alignment horizontal="center" vertical="top"/>
      <protection locked="0"/>
    </xf>
    <xf numFmtId="0" fontId="39" fillId="10" borderId="54" xfId="0" applyFont="1" applyFill="1" applyBorder="1" applyAlignment="1" applyProtection="1">
      <alignment vertical="top"/>
      <protection locked="0"/>
    </xf>
    <xf numFmtId="14" fontId="55" fillId="10" borderId="0" xfId="0" applyNumberFormat="1" applyFont="1" applyFill="1" applyBorder="1" applyAlignment="1" applyProtection="1">
      <alignment horizontal="center" vertical="top"/>
      <protection locked="0"/>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166" fontId="30" fillId="0" borderId="103"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2" fontId="39" fillId="10" borderId="102" xfId="0" applyNumberFormat="1" applyFont="1" applyFill="1" applyBorder="1" applyAlignment="1" applyProtection="1">
      <alignment vertical="top"/>
    </xf>
    <xf numFmtId="0" fontId="55" fillId="0" borderId="0" xfId="0" applyFont="1" applyFill="1" applyBorder="1" applyAlignment="1" applyProtection="1">
      <alignment horizontal="left" vertical="top"/>
      <protection locked="0"/>
    </xf>
    <xf numFmtId="0" fontId="39" fillId="10" borderId="62" xfId="0" applyFont="1" applyFill="1" applyBorder="1" applyAlignment="1" applyProtection="1">
      <alignment vertical="top"/>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0" fillId="0" borderId="1" xfId="0" applyFont="1" applyBorder="1" applyAlignment="1" applyProtection="1">
      <alignment horizontal="left" vertical="top" wrapText="1"/>
      <protection locked="0"/>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0" fillId="0" borderId="0"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horizontal="right" vertical="top" wrapText="1"/>
      <protection locked="0"/>
    </xf>
    <xf numFmtId="166" fontId="36" fillId="0" borderId="0" xfId="0" applyNumberFormat="1" applyFont="1" applyFill="1" applyBorder="1" applyAlignment="1" applyProtection="1">
      <alignment vertical="top" wrapText="1"/>
      <protection locked="0"/>
    </xf>
    <xf numFmtId="9" fontId="35" fillId="9" borderId="10" xfId="0" applyNumberFormat="1" applyFont="1" applyFill="1" applyBorder="1" applyAlignment="1" applyProtection="1">
      <alignment horizontal="center" wrapText="1"/>
    </xf>
    <xf numFmtId="0" fontId="35" fillId="9" borderId="10" xfId="0" applyFont="1" applyFill="1" applyBorder="1" applyAlignment="1" applyProtection="1">
      <alignment horizontal="center" wrapText="1"/>
    </xf>
    <xf numFmtId="9" fontId="35" fillId="10" borderId="7" xfId="0" applyNumberFormat="1" applyFont="1" applyFill="1" applyBorder="1" applyAlignment="1" applyProtection="1">
      <alignment horizontal="center" textRotation="90" wrapText="1"/>
      <protection locked="0"/>
    </xf>
    <xf numFmtId="2" fontId="35" fillId="9" borderId="10" xfId="0" applyNumberFormat="1" applyFont="1" applyFill="1" applyBorder="1" applyAlignment="1" applyProtection="1">
      <alignment horizontal="center" wrapText="1"/>
    </xf>
    <xf numFmtId="9" fontId="35" fillId="9" borderId="22" xfId="0" applyNumberFormat="1" applyFont="1" applyFill="1" applyBorder="1" applyAlignment="1" applyProtection="1">
      <alignment horizontal="center" wrapText="1"/>
    </xf>
    <xf numFmtId="0" fontId="35" fillId="9" borderId="22" xfId="0" applyFont="1" applyFill="1" applyBorder="1" applyAlignment="1" applyProtection="1">
      <alignment horizontal="center" wrapText="1"/>
    </xf>
    <xf numFmtId="9" fontId="35" fillId="5" borderId="0" xfId="0" applyNumberFormat="1" applyFont="1" applyFill="1" applyBorder="1" applyAlignment="1" applyProtection="1">
      <alignment horizontal="center" textRotation="90" wrapText="1"/>
      <protection locked="0"/>
    </xf>
    <xf numFmtId="10" fontId="43" fillId="9" borderId="22" xfId="6" applyNumberFormat="1" applyFont="1" applyFill="1" applyBorder="1" applyAlignment="1" applyProtection="1">
      <alignment horizontal="center" wrapText="1"/>
    </xf>
    <xf numFmtId="2" fontId="31" fillId="0" borderId="0" xfId="0" applyNumberFormat="1" applyFont="1" applyAlignment="1" applyProtection="1">
      <alignment vertical="top"/>
      <protection locked="0"/>
    </xf>
    <xf numFmtId="0" fontId="30" fillId="0" borderId="1" xfId="0" applyFont="1" applyFill="1" applyBorder="1" applyAlignment="1" applyProtection="1">
      <alignment horizontal="left" vertical="top" wrapText="1"/>
      <protection locked="0"/>
    </xf>
    <xf numFmtId="166" fontId="30" fillId="10" borderId="98" xfId="0" applyNumberFormat="1" applyFont="1" applyFill="1" applyBorder="1" applyAlignment="1" applyProtection="1">
      <alignment vertical="top" wrapText="1"/>
    </xf>
    <xf numFmtId="166" fontId="30" fillId="10" borderId="99" xfId="0" applyNumberFormat="1" applyFont="1" applyFill="1" applyBorder="1" applyAlignment="1" applyProtection="1">
      <alignment vertical="top" wrapText="1"/>
    </xf>
    <xf numFmtId="166" fontId="36" fillId="10" borderId="99" xfId="0" applyNumberFormat="1" applyFont="1" applyFill="1" applyBorder="1" applyAlignment="1" applyProtection="1">
      <alignment vertical="top" wrapText="1"/>
    </xf>
    <xf numFmtId="0" fontId="33" fillId="0" borderId="64" xfId="0" applyFont="1" applyFill="1" applyBorder="1" applyAlignment="1" applyProtection="1">
      <alignment horizontal="center" vertical="top"/>
    </xf>
    <xf numFmtId="166" fontId="36" fillId="0" borderId="16" xfId="0" applyNumberFormat="1" applyFont="1" applyFill="1" applyBorder="1" applyAlignment="1" applyProtection="1">
      <alignment vertical="top" wrapText="1"/>
    </xf>
    <xf numFmtId="10" fontId="75" fillId="0" borderId="0" xfId="0" applyNumberFormat="1" applyFont="1"/>
    <xf numFmtId="0" fontId="30" fillId="0" borderId="1"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2" fontId="30" fillId="0" borderId="0" xfId="0" applyNumberFormat="1" applyFont="1" applyFill="1" applyBorder="1" applyAlignment="1" applyProtection="1">
      <alignment vertical="top"/>
    </xf>
    <xf numFmtId="2" fontId="30" fillId="0" borderId="100" xfId="0" applyNumberFormat="1" applyFont="1" applyFill="1" applyBorder="1" applyAlignment="1" applyProtection="1">
      <alignment vertical="top"/>
      <protection locked="0"/>
    </xf>
    <xf numFmtId="0" fontId="30" fillId="0" borderId="100" xfId="0" applyFont="1" applyFill="1" applyBorder="1" applyAlignment="1" applyProtection="1">
      <alignment vertical="top"/>
      <protection locked="0"/>
    </xf>
    <xf numFmtId="0" fontId="39" fillId="0" borderId="23" xfId="0" applyFont="1" applyFill="1" applyBorder="1" applyAlignment="1" applyProtection="1">
      <alignment horizontal="center" vertical="top"/>
      <protection locked="0"/>
    </xf>
    <xf numFmtId="0" fontId="39" fillId="0" borderId="23" xfId="0" applyFont="1" applyFill="1" applyBorder="1" applyAlignment="1" applyProtection="1">
      <alignment horizontal="left" vertical="top"/>
      <protection locked="0"/>
    </xf>
    <xf numFmtId="0" fontId="39" fillId="0" borderId="23" xfId="0" applyFont="1" applyFill="1" applyBorder="1" applyAlignment="1" applyProtection="1">
      <alignment horizontal="right" vertical="top"/>
      <protection locked="0"/>
    </xf>
    <xf numFmtId="164" fontId="39" fillId="0" borderId="23" xfId="0" applyNumberFormat="1" applyFont="1" applyFill="1" applyBorder="1" applyAlignment="1" applyProtection="1">
      <alignment vertical="top"/>
      <protection locked="0"/>
    </xf>
    <xf numFmtId="164" fontId="39" fillId="0" borderId="23" xfId="0" applyNumberFormat="1" applyFont="1" applyFill="1" applyBorder="1" applyAlignment="1" applyProtection="1">
      <alignment horizontal="center" vertical="top"/>
      <protection locked="0"/>
    </xf>
    <xf numFmtId="2" fontId="39" fillId="0" borderId="53" xfId="0" applyNumberFormat="1" applyFont="1" applyFill="1" applyBorder="1" applyAlignment="1" applyProtection="1">
      <alignment vertical="top"/>
    </xf>
    <xf numFmtId="2" fontId="39" fillId="0" borderId="23" xfId="0" applyNumberFormat="1" applyFont="1" applyFill="1" applyBorder="1" applyAlignment="1" applyProtection="1">
      <alignment vertical="top"/>
      <protection locked="0"/>
    </xf>
    <xf numFmtId="0" fontId="39" fillId="0" borderId="102" xfId="0" applyFont="1" applyFill="1" applyBorder="1" applyAlignment="1" applyProtection="1">
      <alignment vertical="top"/>
      <protection locked="0"/>
    </xf>
    <xf numFmtId="0" fontId="30" fillId="0" borderId="1" xfId="0" applyFont="1" applyFill="1" applyBorder="1" applyAlignment="1" applyProtection="1">
      <alignment horizontal="left" vertical="top" wrapText="1"/>
      <protection locked="0"/>
    </xf>
    <xf numFmtId="0" fontId="39" fillId="9" borderId="64" xfId="0" applyFont="1" applyFill="1" applyBorder="1" applyAlignment="1" applyProtection="1">
      <alignment vertical="top"/>
    </xf>
    <xf numFmtId="0" fontId="33" fillId="10" borderId="7" xfId="0" applyFont="1" applyFill="1" applyBorder="1" applyAlignment="1" applyProtection="1">
      <alignment horizontal="right" vertical="top" wrapText="1"/>
      <protection locked="0"/>
    </xf>
    <xf numFmtId="0" fontId="39" fillId="10" borderId="104" xfId="0" applyFont="1" applyFill="1" applyBorder="1" applyAlignment="1" applyProtection="1">
      <alignment horizontal="center" vertical="center" wrapText="1"/>
    </xf>
    <xf numFmtId="166" fontId="30" fillId="0" borderId="105" xfId="0" applyNumberFormat="1" applyFont="1" applyFill="1" applyBorder="1" applyAlignment="1" applyProtection="1">
      <alignment vertical="top" wrapText="1"/>
    </xf>
    <xf numFmtId="166" fontId="30" fillId="0" borderId="44" xfId="0" applyNumberFormat="1" applyFont="1" applyFill="1" applyBorder="1" applyAlignment="1" applyProtection="1">
      <alignment vertical="top" wrapText="1"/>
    </xf>
    <xf numFmtId="166" fontId="36" fillId="0" borderId="44" xfId="0" applyNumberFormat="1" applyFont="1" applyFill="1" applyBorder="1" applyAlignment="1" applyProtection="1">
      <alignment vertical="top" wrapText="1"/>
    </xf>
    <xf numFmtId="0" fontId="30" fillId="0" borderId="41" xfId="0" applyFont="1" applyFill="1" applyBorder="1" applyAlignment="1" applyProtection="1">
      <alignment vertical="top"/>
      <protection locked="0"/>
    </xf>
    <xf numFmtId="2" fontId="39" fillId="0" borderId="106" xfId="0" applyNumberFormat="1" applyFont="1" applyFill="1" applyBorder="1" applyAlignment="1" applyProtection="1">
      <alignment vertical="top"/>
    </xf>
    <xf numFmtId="0" fontId="31" fillId="0" borderId="0" xfId="0" applyFont="1" applyBorder="1" applyAlignment="1" applyProtection="1">
      <alignment vertical="top"/>
      <protection locked="0"/>
    </xf>
    <xf numFmtId="9" fontId="35" fillId="9" borderId="35" xfId="6" applyFont="1" applyFill="1" applyBorder="1" applyAlignment="1" applyProtection="1">
      <alignment horizontal="center" wrapText="1"/>
    </xf>
    <xf numFmtId="9" fontId="35" fillId="9" borderId="7" xfId="6" applyFont="1" applyFill="1" applyBorder="1" applyAlignment="1" applyProtection="1">
      <alignment horizontal="center" wrapText="1"/>
    </xf>
    <xf numFmtId="9" fontId="35" fillId="9" borderId="31" xfId="6" applyFont="1" applyFill="1" applyBorder="1" applyAlignment="1" applyProtection="1">
      <alignment horizontal="center" vertical="top" wrapText="1"/>
    </xf>
    <xf numFmtId="166" fontId="30" fillId="16" borderId="16" xfId="0" applyNumberFormat="1" applyFont="1" applyFill="1" applyBorder="1" applyAlignment="1" applyProtection="1">
      <alignment vertical="top" wrapText="1"/>
    </xf>
    <xf numFmtId="166" fontId="30" fillId="0" borderId="16"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9" fontId="39" fillId="9" borderId="7" xfId="0" applyNumberFormat="1" applyFont="1" applyFill="1" applyBorder="1" applyAlignment="1" applyProtection="1">
      <alignment horizontal="center" vertical="top" wrapText="1"/>
    </xf>
    <xf numFmtId="166" fontId="30" fillId="0" borderId="65" xfId="0" applyNumberFormat="1" applyFont="1" applyFill="1" applyBorder="1" applyAlignment="1" applyProtection="1">
      <alignment vertical="top" wrapText="1"/>
    </xf>
    <xf numFmtId="166" fontId="36" fillId="0" borderId="85" xfId="0" applyNumberFormat="1" applyFont="1" applyFill="1" applyBorder="1" applyAlignment="1" applyProtection="1">
      <alignment vertical="top" wrapText="1"/>
    </xf>
    <xf numFmtId="2" fontId="30" fillId="0" borderId="85" xfId="0" applyNumberFormat="1" applyFont="1" applyFill="1" applyBorder="1" applyAlignment="1" applyProtection="1">
      <alignment vertical="top" wrapText="1"/>
    </xf>
    <xf numFmtId="2" fontId="30" fillId="0" borderId="7" xfId="0" applyNumberFormat="1" applyFont="1" applyFill="1" applyBorder="1" applyAlignment="1" applyProtection="1">
      <alignment vertical="top"/>
    </xf>
    <xf numFmtId="2" fontId="39" fillId="0" borderId="31" xfId="0" applyNumberFormat="1" applyFont="1" applyFill="1" applyBorder="1" applyAlignment="1" applyProtection="1">
      <alignment vertical="top"/>
    </xf>
    <xf numFmtId="0" fontId="30" fillId="0" borderId="38" xfId="0" applyFont="1" applyFill="1" applyBorder="1" applyAlignment="1" applyProtection="1">
      <alignment vertical="center" textRotation="90" wrapText="1"/>
      <protection locked="0"/>
    </xf>
    <xf numFmtId="0" fontId="30" fillId="0" borderId="108"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166" fontId="30" fillId="0" borderId="57" xfId="0" applyNumberFormat="1" applyFont="1" applyFill="1" applyBorder="1" applyAlignment="1" applyProtection="1">
      <alignment vertical="top" wrapText="1"/>
    </xf>
    <xf numFmtId="166" fontId="30" fillId="0" borderId="7" xfId="0" applyNumberFormat="1" applyFont="1" applyFill="1" applyBorder="1" applyAlignment="1" applyProtection="1">
      <alignment vertical="top" wrapText="1"/>
    </xf>
    <xf numFmtId="166" fontId="30" fillId="0" borderId="109" xfId="0" applyNumberFormat="1" applyFont="1" applyFill="1" applyBorder="1" applyAlignment="1" applyProtection="1">
      <alignment vertical="top" wrapText="1"/>
    </xf>
    <xf numFmtId="166" fontId="30" fillId="0" borderId="110" xfId="0" applyNumberFormat="1" applyFont="1" applyFill="1" applyBorder="1" applyAlignment="1" applyProtection="1">
      <alignment vertical="top" wrapText="1"/>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166" fontId="30" fillId="0" borderId="3" xfId="0" applyNumberFormat="1" applyFont="1" applyFill="1" applyBorder="1" applyAlignment="1" applyProtection="1">
      <alignment horizontal="right" vertical="top" wrapText="1"/>
      <protection locked="0"/>
    </xf>
    <xf numFmtId="166" fontId="30" fillId="0" borderId="70" xfId="0" applyNumberFormat="1" applyFont="1" applyFill="1" applyBorder="1" applyAlignment="1" applyProtection="1">
      <alignment vertical="top" wrapText="1"/>
    </xf>
    <xf numFmtId="166" fontId="30" fillId="0" borderId="111"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wrapText="1"/>
      <protection locked="0"/>
    </xf>
    <xf numFmtId="166" fontId="30" fillId="0" borderId="85" xfId="0" applyNumberFormat="1" applyFont="1" applyFill="1" applyBorder="1" applyAlignment="1" applyProtection="1">
      <alignment vertical="top" wrapText="1"/>
    </xf>
    <xf numFmtId="2" fontId="30" fillId="0" borderId="19"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left" vertical="top" wrapText="1"/>
      <protection locked="0"/>
    </xf>
    <xf numFmtId="0" fontId="0" fillId="0" borderId="0" xfId="0" applyFill="1"/>
    <xf numFmtId="0" fontId="30" fillId="0" borderId="3" xfId="0" applyFont="1" applyFill="1" applyBorder="1" applyAlignment="1" applyProtection="1">
      <alignment horizontal="left" vertical="top" wrapText="1"/>
    </xf>
    <xf numFmtId="0" fontId="30" fillId="0" borderId="3" xfId="0" applyFont="1" applyFill="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3" xfId="0" applyFont="1" applyFill="1" applyBorder="1" applyAlignment="1" applyProtection="1">
      <alignment horizontal="center" vertical="top" wrapText="1"/>
      <protection locked="0"/>
    </xf>
    <xf numFmtId="166" fontId="30" fillId="16" borderId="15" xfId="0" applyNumberFormat="1" applyFont="1" applyFill="1" applyBorder="1" applyAlignment="1" applyProtection="1">
      <alignment vertical="top" wrapText="1"/>
    </xf>
    <xf numFmtId="166" fontId="30" fillId="16" borderId="3" xfId="0" applyNumberFormat="1" applyFont="1" applyFill="1" applyBorder="1" applyAlignment="1" applyProtection="1">
      <alignment vertical="top" wrapText="1"/>
    </xf>
    <xf numFmtId="166" fontId="30" fillId="16" borderId="1" xfId="0" applyNumberFormat="1" applyFont="1" applyFill="1" applyBorder="1" applyAlignment="1" applyProtection="1">
      <alignment vertical="top" wrapText="1"/>
    </xf>
    <xf numFmtId="2" fontId="39" fillId="10" borderId="97" xfId="0" applyNumberFormat="1" applyFont="1" applyFill="1" applyBorder="1" applyAlignment="1" applyProtection="1">
      <alignment vertical="top"/>
    </xf>
    <xf numFmtId="2" fontId="39" fillId="16" borderId="112" xfId="0" applyNumberFormat="1" applyFont="1" applyFill="1" applyBorder="1" applyAlignment="1" applyProtection="1">
      <alignment vertical="top"/>
      <protection locked="0"/>
    </xf>
    <xf numFmtId="2" fontId="39" fillId="10" borderId="30" xfId="0" applyNumberFormat="1" applyFont="1" applyFill="1" applyBorder="1" applyAlignment="1" applyProtection="1">
      <alignment vertical="top"/>
    </xf>
    <xf numFmtId="2" fontId="39" fillId="10" borderId="30" xfId="0" applyNumberFormat="1" applyFont="1" applyFill="1" applyBorder="1" applyAlignment="1" applyProtection="1">
      <alignment vertical="top"/>
      <protection locked="0"/>
    </xf>
    <xf numFmtId="0" fontId="44" fillId="0" borderId="0" xfId="0" applyFont="1" applyFill="1" applyBorder="1" applyAlignment="1" applyProtection="1">
      <alignment horizontal="left" vertical="top"/>
      <protection locked="0"/>
    </xf>
    <xf numFmtId="0" fontId="31" fillId="0" borderId="0" xfId="0" applyFont="1" applyFill="1" applyBorder="1" applyAlignment="1" applyProtection="1">
      <alignment horizontal="left" vertical="top"/>
      <protection locked="0"/>
    </xf>
    <xf numFmtId="0" fontId="31" fillId="0" borderId="0" xfId="0" applyFont="1" applyFill="1" applyBorder="1" applyAlignment="1" applyProtection="1">
      <alignment vertical="top"/>
      <protection locked="0"/>
    </xf>
    <xf numFmtId="2" fontId="31" fillId="0" borderId="0" xfId="0" applyNumberFormat="1" applyFont="1" applyFill="1" applyBorder="1" applyAlignment="1" applyProtection="1">
      <alignment vertical="top"/>
      <protection locked="0"/>
    </xf>
    <xf numFmtId="2" fontId="38" fillId="0" borderId="0" xfId="0" applyNumberFormat="1" applyFont="1" applyFill="1" applyBorder="1" applyAlignment="1" applyProtection="1">
      <alignment vertical="top"/>
      <protection locked="0"/>
    </xf>
    <xf numFmtId="0" fontId="71" fillId="0" borderId="0" xfId="0" applyFont="1" applyFill="1" applyBorder="1" applyAlignment="1" applyProtection="1">
      <alignment horizontal="center" vertical="top"/>
      <protection locked="0"/>
    </xf>
    <xf numFmtId="0" fontId="53" fillId="0" borderId="0" xfId="0" applyFont="1" applyFill="1" applyBorder="1" applyAlignment="1" applyProtection="1">
      <alignment horizontal="left" vertical="top"/>
      <protection locked="0"/>
    </xf>
    <xf numFmtId="165" fontId="37" fillId="0" borderId="0" xfId="0" applyNumberFormat="1" applyFont="1" applyFill="1" applyBorder="1" applyAlignment="1" applyProtection="1">
      <alignment vertical="top"/>
      <protection locked="0"/>
    </xf>
    <xf numFmtId="0" fontId="31" fillId="0" borderId="0" xfId="0" applyFont="1" applyFill="1" applyBorder="1" applyAlignment="1" applyProtection="1">
      <alignment horizontal="center" vertical="top"/>
      <protection locked="0"/>
    </xf>
    <xf numFmtId="0" fontId="38" fillId="0" borderId="0" xfId="0" applyFont="1" applyFill="1" applyBorder="1" applyAlignment="1" applyProtection="1">
      <alignment vertical="top"/>
      <protection locked="0"/>
    </xf>
    <xf numFmtId="0" fontId="71" fillId="10" borderId="0" xfId="0" applyFont="1" applyFill="1" applyBorder="1" applyAlignment="1" applyProtection="1">
      <alignment horizontal="center" vertical="top"/>
      <protection locked="0"/>
    </xf>
    <xf numFmtId="0" fontId="31" fillId="0" borderId="0" xfId="0" applyFont="1" applyBorder="1" applyAlignment="1" applyProtection="1">
      <alignment horizontal="center" vertical="top"/>
      <protection locked="0"/>
    </xf>
    <xf numFmtId="0" fontId="30" fillId="0" borderId="0" xfId="0" applyFont="1" applyFill="1" applyBorder="1" applyAlignment="1" applyProtection="1">
      <alignment horizontal="right" vertical="top"/>
      <protection locked="0"/>
    </xf>
    <xf numFmtId="0" fontId="32" fillId="0" borderId="0" xfId="0" applyFont="1" applyFill="1" applyBorder="1" applyAlignment="1" applyProtection="1">
      <alignment vertical="top"/>
      <protection locked="0"/>
    </xf>
    <xf numFmtId="0" fontId="33" fillId="0" borderId="0" xfId="0" applyFont="1" applyFill="1" applyBorder="1" applyAlignment="1" applyProtection="1">
      <alignment vertical="top"/>
      <protection locked="0"/>
    </xf>
    <xf numFmtId="0" fontId="39" fillId="0" borderId="0" xfId="0" applyFont="1" applyFill="1" applyBorder="1" applyAlignment="1" applyProtection="1">
      <alignment horizontal="center" vertical="top"/>
      <protection locked="0"/>
    </xf>
    <xf numFmtId="2" fontId="39" fillId="0" borderId="0" xfId="0" applyNumberFormat="1" applyFont="1" applyFill="1" applyBorder="1" applyAlignment="1" applyProtection="1">
      <alignment horizontal="center" vertical="top"/>
    </xf>
    <xf numFmtId="2" fontId="33" fillId="0" borderId="0" xfId="0" applyNumberFormat="1" applyFont="1" applyFill="1" applyBorder="1" applyAlignment="1" applyProtection="1">
      <alignment vertical="top"/>
    </xf>
    <xf numFmtId="0" fontId="39" fillId="0" borderId="0" xfId="0" applyFont="1" applyFill="1" applyBorder="1" applyAlignment="1" applyProtection="1">
      <alignment horizontal="right" vertical="top"/>
      <protection locked="0"/>
    </xf>
    <xf numFmtId="2" fontId="39" fillId="0" borderId="0" xfId="0" applyNumberFormat="1" applyFont="1" applyFill="1" applyBorder="1" applyAlignment="1" applyProtection="1">
      <alignment vertical="top"/>
    </xf>
    <xf numFmtId="2" fontId="41" fillId="0" borderId="0" xfId="0" applyNumberFormat="1" applyFont="1" applyFill="1" applyBorder="1" applyAlignment="1" applyProtection="1">
      <alignment vertical="top"/>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9" fillId="9" borderId="113" xfId="0" applyFont="1" applyFill="1" applyBorder="1" applyAlignment="1" applyProtection="1">
      <alignment horizontal="center" vertical="top" wrapText="1"/>
    </xf>
    <xf numFmtId="166" fontId="30" fillId="16" borderId="114" xfId="0" applyNumberFormat="1" applyFont="1" applyFill="1" applyBorder="1" applyAlignment="1" applyProtection="1">
      <alignment vertical="top" wrapText="1"/>
    </xf>
    <xf numFmtId="166" fontId="30" fillId="0" borderId="114" xfId="0" applyNumberFormat="1" applyFont="1" applyFill="1" applyBorder="1" applyAlignment="1" applyProtection="1">
      <alignment vertical="top" wrapText="1"/>
    </xf>
    <xf numFmtId="166" fontId="36" fillId="0" borderId="114" xfId="0" applyNumberFormat="1" applyFont="1" applyFill="1" applyBorder="1" applyAlignment="1" applyProtection="1">
      <alignment vertical="top" wrapText="1"/>
    </xf>
    <xf numFmtId="2" fontId="30" fillId="0" borderId="114" xfId="0" applyNumberFormat="1" applyFont="1" applyFill="1" applyBorder="1" applyAlignment="1" applyProtection="1">
      <alignment vertical="top" wrapText="1"/>
    </xf>
    <xf numFmtId="0" fontId="30" fillId="10" borderId="115" xfId="0" applyFont="1" applyFill="1" applyBorder="1" applyAlignment="1" applyProtection="1">
      <alignment vertical="top"/>
      <protection locked="0"/>
    </xf>
    <xf numFmtId="2" fontId="39" fillId="10" borderId="116" xfId="0" applyNumberFormat="1" applyFont="1" applyFill="1" applyBorder="1" applyAlignment="1" applyProtection="1">
      <alignment vertical="top"/>
    </xf>
    <xf numFmtId="166" fontId="30" fillId="16" borderId="117" xfId="0" applyNumberFormat="1" applyFont="1" applyFill="1" applyBorder="1" applyAlignment="1" applyProtection="1">
      <alignment vertical="top" wrapText="1"/>
    </xf>
    <xf numFmtId="0" fontId="39" fillId="10" borderId="118" xfId="0" applyFont="1" applyFill="1" applyBorder="1" applyAlignment="1" applyProtection="1">
      <alignment horizontal="center" vertical="center" wrapText="1"/>
    </xf>
    <xf numFmtId="166" fontId="30" fillId="0" borderId="27" xfId="0" applyNumberFormat="1" applyFont="1" applyFill="1" applyBorder="1" applyAlignment="1" applyProtection="1">
      <alignment vertical="top" wrapText="1"/>
    </xf>
    <xf numFmtId="2" fontId="30" fillId="0" borderId="19" xfId="0" applyNumberFormat="1" applyFont="1" applyFill="1" applyBorder="1" applyAlignment="1" applyProtection="1">
      <alignment vertical="top" wrapText="1"/>
    </xf>
    <xf numFmtId="2" fontId="35" fillId="9" borderId="119" xfId="0" applyNumberFormat="1" applyFont="1" applyFill="1" applyBorder="1" applyAlignment="1" applyProtection="1">
      <alignment horizontal="center" vertical="top" wrapText="1"/>
    </xf>
    <xf numFmtId="10" fontId="43" fillId="9" borderId="120" xfId="6" applyNumberFormat="1" applyFont="1" applyFill="1" applyBorder="1" applyAlignment="1" applyProtection="1">
      <alignment horizontal="center" vertical="center" wrapText="1"/>
    </xf>
    <xf numFmtId="166" fontId="30" fillId="0" borderId="48" xfId="0" applyNumberFormat="1" applyFont="1" applyFill="1" applyBorder="1" applyAlignment="1" applyProtection="1">
      <alignment vertical="top" wrapText="1"/>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0" fontId="35" fillId="9" borderId="34" xfId="0" applyFont="1" applyFill="1" applyBorder="1" applyAlignment="1" applyProtection="1">
      <alignment horizontal="center" vertical="top" wrapText="1"/>
    </xf>
    <xf numFmtId="0" fontId="35" fillId="9" borderId="31" xfId="0" applyFont="1" applyFill="1" applyBorder="1" applyAlignment="1" applyProtection="1">
      <alignment horizontal="center" vertical="top" wrapText="1"/>
    </xf>
    <xf numFmtId="2" fontId="35" fillId="9" borderId="24" xfId="0" applyNumberFormat="1" applyFont="1" applyFill="1" applyBorder="1" applyAlignment="1" applyProtection="1">
      <alignment horizontal="center" vertical="top" wrapText="1"/>
    </xf>
    <xf numFmtId="2" fontId="39" fillId="9" borderId="24" xfId="0" applyNumberFormat="1" applyFont="1" applyFill="1" applyBorder="1" applyAlignment="1" applyProtection="1">
      <alignment horizontal="center" vertical="top" wrapText="1"/>
    </xf>
    <xf numFmtId="2" fontId="35" fillId="9" borderId="121" xfId="0" applyNumberFormat="1" applyFont="1" applyFill="1" applyBorder="1" applyAlignment="1" applyProtection="1">
      <alignment horizontal="center" vertical="top" wrapText="1"/>
    </xf>
    <xf numFmtId="10" fontId="43" fillId="9" borderId="121" xfId="6"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center" wrapText="1"/>
    </xf>
    <xf numFmtId="0" fontId="35" fillId="9" borderId="11" xfId="0" applyFont="1" applyFill="1" applyBorder="1" applyAlignment="1" applyProtection="1">
      <alignment horizontal="center" vertical="center" wrapText="1"/>
    </xf>
    <xf numFmtId="0" fontId="39" fillId="9" borderId="10" xfId="0" applyFont="1" applyFill="1" applyBorder="1" applyAlignment="1" applyProtection="1">
      <alignment horizontal="center" vertical="center" wrapText="1"/>
    </xf>
    <xf numFmtId="9" fontId="35" fillId="10" borderId="7" xfId="0" applyNumberFormat="1" applyFont="1" applyFill="1" applyBorder="1" applyAlignment="1" applyProtection="1">
      <alignment horizontal="center" vertical="center" textRotation="90" wrapText="1"/>
      <protection locked="0"/>
    </xf>
    <xf numFmtId="2" fontId="35" fillId="9" borderId="22" xfId="0" applyNumberFormat="1"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9" fontId="35" fillId="5" borderId="0" xfId="0" applyNumberFormat="1" applyFont="1" applyFill="1" applyBorder="1" applyAlignment="1" applyProtection="1">
      <alignment horizontal="center" vertical="center" textRotation="90" wrapText="1"/>
      <protection locked="0"/>
    </xf>
    <xf numFmtId="166" fontId="30" fillId="0" borderId="122" xfId="0" applyNumberFormat="1" applyFont="1" applyFill="1" applyBorder="1" applyAlignment="1" applyProtection="1">
      <alignment vertical="top" wrapText="1"/>
    </xf>
    <xf numFmtId="166" fontId="30" fillId="0" borderId="123" xfId="0" applyNumberFormat="1" applyFont="1" applyFill="1" applyBorder="1" applyAlignment="1" applyProtection="1">
      <alignment vertical="top" wrapText="1"/>
    </xf>
    <xf numFmtId="166" fontId="36" fillId="0" borderId="123" xfId="0" applyNumberFormat="1" applyFont="1" applyFill="1" applyBorder="1" applyAlignment="1" applyProtection="1">
      <alignment vertical="top" wrapText="1"/>
    </xf>
    <xf numFmtId="2" fontId="30" fillId="0" borderId="123" xfId="0" applyNumberFormat="1" applyFont="1" applyFill="1" applyBorder="1" applyAlignment="1" applyProtection="1">
      <alignment vertical="top" wrapText="1"/>
    </xf>
    <xf numFmtId="0" fontId="30" fillId="10" borderId="124" xfId="0" applyFont="1" applyFill="1" applyBorder="1" applyAlignment="1" applyProtection="1">
      <alignment vertical="top"/>
      <protection locked="0"/>
    </xf>
    <xf numFmtId="2" fontId="39" fillId="10" borderId="11" xfId="0" applyNumberFormat="1" applyFont="1" applyFill="1" applyBorder="1" applyAlignment="1" applyProtection="1">
      <alignment vertical="top"/>
    </xf>
    <xf numFmtId="0" fontId="33" fillId="11" borderId="29" xfId="0" applyFont="1" applyFill="1" applyBorder="1" applyAlignment="1" applyProtection="1">
      <alignment horizontal="center" vertical="top"/>
    </xf>
    <xf numFmtId="166" fontId="30" fillId="24" borderId="1" xfId="0" applyNumberFormat="1" applyFont="1" applyFill="1" applyBorder="1" applyAlignment="1" applyProtection="1">
      <alignment horizontal="right" vertical="top" wrapText="1"/>
      <protection locked="0"/>
    </xf>
    <xf numFmtId="166" fontId="30" fillId="24" borderId="40" xfId="0" applyNumberFormat="1" applyFont="1" applyFill="1" applyBorder="1" applyAlignment="1" applyProtection="1">
      <alignment horizontal="right" vertical="top" wrapText="1"/>
      <protection locked="0"/>
    </xf>
    <xf numFmtId="44" fontId="30" fillId="13" borderId="107" xfId="0" applyNumberFormat="1" applyFont="1" applyFill="1" applyBorder="1" applyAlignment="1" applyProtection="1">
      <alignment vertical="top"/>
    </xf>
    <xf numFmtId="0" fontId="33" fillId="23" borderId="6" xfId="0" applyFont="1" applyFill="1" applyBorder="1" applyAlignment="1" applyProtection="1">
      <alignment horizontal="center" vertical="top"/>
      <protection locked="0"/>
    </xf>
    <xf numFmtId="0" fontId="30" fillId="16" borderId="1" xfId="0" applyFont="1" applyFill="1" applyBorder="1" applyAlignment="1" applyProtection="1">
      <alignment horizontal="left" vertical="top" wrapText="1"/>
    </xf>
    <xf numFmtId="166" fontId="36" fillId="16" borderId="15" xfId="0" applyNumberFormat="1" applyFont="1" applyFill="1" applyBorder="1" applyAlignment="1" applyProtection="1">
      <alignment vertical="top" wrapText="1"/>
    </xf>
    <xf numFmtId="2" fontId="30" fillId="16" borderId="16" xfId="0" applyNumberFormat="1" applyFont="1" applyFill="1" applyBorder="1" applyAlignment="1" applyProtection="1">
      <alignment vertical="top" wrapText="1"/>
    </xf>
    <xf numFmtId="166" fontId="30" fillId="16" borderId="0" xfId="0" applyNumberFormat="1" applyFont="1" applyFill="1" applyAlignment="1" applyProtection="1">
      <alignment vertical="top"/>
    </xf>
    <xf numFmtId="2" fontId="39" fillId="16" borderId="1" xfId="0" applyNumberFormat="1" applyFont="1" applyFill="1" applyBorder="1" applyAlignment="1" applyProtection="1">
      <alignment vertical="top"/>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0" fillId="0" borderId="1" xfId="0" applyFont="1" applyBorder="1" applyAlignment="1" applyProtection="1">
      <alignment horizontal="left" vertical="top" wrapText="1"/>
      <protection locked="0"/>
    </xf>
    <xf numFmtId="0" fontId="39" fillId="10" borderId="61" xfId="0" applyFont="1" applyFill="1" applyBorder="1" applyAlignment="1" applyProtection="1">
      <alignment horizontal="right" vertical="top"/>
      <protection locked="0"/>
    </xf>
    <xf numFmtId="0" fontId="39" fillId="10" borderId="53" xfId="0" applyFont="1" applyFill="1" applyBorder="1" applyAlignment="1" applyProtection="1">
      <alignment horizontal="right" vertical="top"/>
      <protection locked="0"/>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9" fillId="10" borderId="3"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0" fontId="39" fillId="10" borderId="71"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58" xfId="0" applyFont="1" applyFill="1" applyBorder="1" applyAlignment="1" applyProtection="1">
      <alignment horizontal="right" vertical="top"/>
      <protection locked="0"/>
    </xf>
    <xf numFmtId="14" fontId="33" fillId="12" borderId="16" xfId="0" applyNumberFormat="1" applyFont="1" applyFill="1" applyBorder="1" applyAlignment="1" applyProtection="1">
      <alignment horizontal="left" vertical="top"/>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0" fontId="30" fillId="0" borderId="3" xfId="0" applyFont="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0" borderId="58" xfId="0" applyFont="1" applyFill="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6" xfId="0" applyFont="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0" borderId="44" xfId="0" applyFont="1" applyFill="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2" fillId="10" borderId="52" xfId="0" applyFont="1" applyFill="1" applyBorder="1" applyAlignment="1" applyProtection="1">
      <alignment horizontal="center" vertical="center"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33" fillId="12" borderId="1" xfId="0" applyFont="1" applyFill="1" applyBorder="1" applyAlignment="1" applyProtection="1">
      <alignment horizontal="left" vertical="top"/>
      <protection locked="0"/>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26" xfId="0" applyNumberFormat="1" applyFont="1" applyFill="1" applyBorder="1" applyAlignment="1" applyProtection="1">
      <alignment horizontal="left" vertical="top" wrapText="1"/>
    </xf>
    <xf numFmtId="0" fontId="33" fillId="12"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0" borderId="19" xfId="0" applyFont="1" applyFill="1" applyBorder="1" applyAlignment="1" applyProtection="1">
      <alignment horizontal="righ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39" fillId="10" borderId="48" xfId="0" applyFont="1" applyFill="1" applyBorder="1" applyAlignment="1" applyProtection="1">
      <alignment horizontal="left" vertical="top"/>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33" fillId="12" borderId="19" xfId="0"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9" fontId="33" fillId="12" borderId="50" xfId="5"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9" fillId="10" borderId="86"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55" fillId="0" borderId="34" xfId="0" applyFont="1" applyBorder="1" applyAlignment="1" applyProtection="1">
      <alignment horizontal="center" vertical="top" wrapText="1"/>
      <protection locked="0"/>
    </xf>
    <xf numFmtId="0" fontId="55" fillId="0" borderId="30" xfId="0" applyFont="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center" wrapText="1"/>
    </xf>
    <xf numFmtId="0" fontId="31" fillId="0" borderId="59"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0" fontId="48" fillId="0" borderId="40" xfId="0" applyFont="1" applyFill="1" applyBorder="1" applyAlignment="1" applyProtection="1">
      <alignment horizontal="center" vertical="center" textRotation="90" wrapText="1"/>
      <protection locked="0"/>
    </xf>
    <xf numFmtId="0" fontId="48" fillId="0" borderId="3" xfId="0" applyFont="1" applyFill="1" applyBorder="1" applyAlignment="1" applyProtection="1">
      <alignment horizontal="center" vertical="center" textRotation="90" wrapText="1"/>
      <protection locked="0"/>
    </xf>
    <xf numFmtId="0" fontId="30" fillId="0" borderId="3" xfId="0" applyFont="1" applyFill="1" applyBorder="1" applyAlignment="1" applyProtection="1">
      <alignment horizontal="left" vertical="top" wrapText="1"/>
      <protection locked="0"/>
    </xf>
    <xf numFmtId="9" fontId="39" fillId="9" borderId="10" xfId="0" applyNumberFormat="1" applyFont="1" applyFill="1" applyBorder="1" applyAlignment="1" applyProtection="1">
      <alignment horizontal="center" wrapText="1"/>
    </xf>
    <xf numFmtId="9" fontId="39" fillId="9" borderId="22" xfId="0" applyNumberFormat="1" applyFont="1" applyFill="1" applyBorder="1" applyAlignment="1" applyProtection="1">
      <alignment horizontal="center" wrapText="1"/>
    </xf>
    <xf numFmtId="2" fontId="35" fillId="9" borderId="10" xfId="0" applyNumberFormat="1" applyFont="1" applyFill="1" applyBorder="1" applyAlignment="1" applyProtection="1">
      <alignment horizontal="center" wrapText="1"/>
    </xf>
    <xf numFmtId="2" fontId="35" fillId="9" borderId="22" xfId="0" applyNumberFormat="1" applyFont="1" applyFill="1" applyBorder="1" applyAlignment="1" applyProtection="1">
      <alignment horizontal="center" wrapText="1"/>
    </xf>
    <xf numFmtId="9" fontId="39" fillId="9" borderId="35" xfId="0" applyNumberFormat="1" applyFont="1" applyFill="1" applyBorder="1" applyAlignment="1" applyProtection="1">
      <alignment horizontal="center" wrapText="1"/>
    </xf>
    <xf numFmtId="9" fontId="39" fillId="9" borderId="31" xfId="0" applyNumberFormat="1" applyFont="1" applyFill="1" applyBorder="1" applyAlignment="1" applyProtection="1">
      <alignment horizontal="center" wrapText="1"/>
    </xf>
    <xf numFmtId="0" fontId="39" fillId="9" borderId="62" xfId="0" applyFont="1" applyFill="1" applyBorder="1" applyAlignment="1" applyProtection="1">
      <alignment horizontal="center" wrapText="1"/>
    </xf>
    <xf numFmtId="0" fontId="39" fillId="9" borderId="13" xfId="0" applyFont="1" applyFill="1" applyBorder="1" applyAlignment="1" applyProtection="1">
      <alignment horizontal="center" wrapText="1"/>
    </xf>
    <xf numFmtId="0" fontId="33" fillId="0" borderId="52" xfId="0" applyFont="1" applyFill="1" applyBorder="1" applyAlignment="1" applyProtection="1">
      <alignment horizontal="left" vertical="top"/>
      <protection locked="0"/>
    </xf>
    <xf numFmtId="0" fontId="33" fillId="0" borderId="2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39" fillId="0" borderId="85" xfId="0" applyFont="1" applyFill="1" applyBorder="1" applyAlignment="1" applyProtection="1">
      <alignment horizontal="right" vertical="top"/>
      <protection locked="0"/>
    </xf>
    <xf numFmtId="0" fontId="39" fillId="0" borderId="19" xfId="0" applyFont="1" applyFill="1" applyBorder="1" applyAlignment="1" applyProtection="1">
      <alignment horizontal="right" vertical="top"/>
      <protection locked="0"/>
    </xf>
    <xf numFmtId="0" fontId="39" fillId="0" borderId="58" xfId="0" applyFont="1" applyFill="1" applyBorder="1" applyAlignment="1" applyProtection="1">
      <alignment horizontal="right" vertical="top"/>
      <protection locked="0"/>
    </xf>
    <xf numFmtId="7" fontId="32" fillId="0" borderId="1" xfId="2" applyNumberFormat="1" applyFont="1" applyFill="1" applyBorder="1" applyAlignment="1" applyProtection="1">
      <alignment horizontal="center" vertical="center" wrapText="1"/>
    </xf>
    <xf numFmtId="7" fontId="32" fillId="0" borderId="6" xfId="2" applyNumberFormat="1" applyFont="1" applyFill="1" applyBorder="1" applyAlignment="1" applyProtection="1">
      <alignment horizontal="center" vertical="center" wrapText="1"/>
    </xf>
    <xf numFmtId="0" fontId="33" fillId="0" borderId="16" xfId="0" applyFont="1" applyFill="1" applyBorder="1" applyAlignment="1" applyProtection="1">
      <alignment horizontal="left" vertical="top"/>
      <protection locked="0"/>
    </xf>
    <xf numFmtId="0" fontId="33" fillId="0" borderId="19" xfId="0" applyFont="1" applyFill="1" applyBorder="1" applyAlignment="1" applyProtection="1">
      <alignment horizontal="left" vertical="top"/>
      <protection locked="0"/>
    </xf>
    <xf numFmtId="0" fontId="39" fillId="0" borderId="49" xfId="0" applyFont="1" applyFill="1" applyBorder="1" applyAlignment="1" applyProtection="1">
      <alignment horizontal="right" vertical="top"/>
      <protection locked="0"/>
    </xf>
    <xf numFmtId="0" fontId="39" fillId="0" borderId="26" xfId="0" applyFont="1" applyFill="1" applyBorder="1" applyAlignment="1" applyProtection="1">
      <alignment horizontal="right" vertical="top"/>
      <protection locked="0"/>
    </xf>
    <xf numFmtId="0" fontId="39" fillId="0" borderId="59" xfId="0" applyFont="1" applyFill="1" applyBorder="1" applyAlignment="1" applyProtection="1">
      <alignment horizontal="right" vertical="top"/>
      <protection locked="0"/>
    </xf>
    <xf numFmtId="0" fontId="62" fillId="0" borderId="47" xfId="0" applyFont="1" applyFill="1" applyBorder="1" applyAlignment="1" applyProtection="1">
      <alignment horizontal="right" vertical="top"/>
      <protection locked="0"/>
    </xf>
    <xf numFmtId="0" fontId="62" fillId="0" borderId="1" xfId="0" applyFont="1" applyFill="1" applyBorder="1" applyAlignment="1" applyProtection="1">
      <alignment horizontal="right" vertical="top"/>
      <protection locked="0"/>
    </xf>
    <xf numFmtId="9" fontId="33" fillId="0" borderId="52" xfId="0" applyNumberFormat="1" applyFont="1" applyFill="1" applyBorder="1" applyAlignment="1" applyProtection="1">
      <alignment horizontal="center" vertical="top" wrapText="1"/>
    </xf>
    <xf numFmtId="9" fontId="33" fillId="0" borderId="82" xfId="0" applyNumberFormat="1" applyFont="1" applyFill="1" applyBorder="1" applyAlignment="1" applyProtection="1">
      <alignment horizontal="center" vertical="top" wrapText="1"/>
    </xf>
    <xf numFmtId="9" fontId="33" fillId="0" borderId="16" xfId="6" applyFont="1" applyFill="1" applyBorder="1" applyAlignment="1" applyProtection="1">
      <alignment horizontal="center" vertical="top"/>
      <protection locked="0"/>
    </xf>
    <xf numFmtId="9" fontId="33" fillId="0" borderId="50" xfId="6" applyFont="1" applyFill="1" applyBorder="1" applyAlignment="1" applyProtection="1">
      <alignment horizontal="center" vertical="top"/>
      <protection locked="0"/>
    </xf>
    <xf numFmtId="0" fontId="39" fillId="0" borderId="86" xfId="0" applyFont="1" applyFill="1" applyBorder="1" applyAlignment="1" applyProtection="1">
      <alignment horizontal="left" vertical="top"/>
      <protection locked="0"/>
    </xf>
    <xf numFmtId="0" fontId="39" fillId="0" borderId="69" xfId="0" applyFont="1" applyFill="1" applyBorder="1" applyAlignment="1" applyProtection="1">
      <alignment horizontal="left" vertical="top"/>
      <protection locked="0"/>
    </xf>
    <xf numFmtId="0" fontId="33" fillId="0" borderId="45" xfId="0" applyFont="1" applyFill="1" applyBorder="1" applyAlignment="1" applyProtection="1">
      <alignment horizontal="left" vertical="top"/>
      <protection locked="0"/>
    </xf>
    <xf numFmtId="0" fontId="33" fillId="0" borderId="21" xfId="0" applyFont="1" applyFill="1" applyBorder="1" applyAlignment="1" applyProtection="1">
      <alignment horizontal="left" vertical="top"/>
      <protection locked="0"/>
    </xf>
    <xf numFmtId="0" fontId="39" fillId="0" borderId="21" xfId="0" applyFont="1" applyFill="1" applyBorder="1" applyAlignment="1" applyProtection="1">
      <alignment horizontal="left" vertical="top"/>
      <protection locked="0"/>
    </xf>
    <xf numFmtId="0" fontId="39" fillId="0" borderId="47" xfId="0" applyFont="1" applyFill="1" applyBorder="1" applyAlignment="1" applyProtection="1">
      <alignment horizontal="left" vertical="top"/>
      <protection locked="0"/>
    </xf>
    <xf numFmtId="0" fontId="39" fillId="0" borderId="1" xfId="0" applyFont="1" applyFill="1" applyBorder="1" applyAlignment="1" applyProtection="1">
      <alignment horizontal="left" vertical="top"/>
      <protection locked="0"/>
    </xf>
    <xf numFmtId="0" fontId="33" fillId="23" borderId="16" xfId="0" applyFont="1" applyFill="1" applyBorder="1" applyAlignment="1" applyProtection="1">
      <alignment horizontal="left" vertical="top"/>
      <protection locked="0"/>
    </xf>
    <xf numFmtId="0" fontId="33" fillId="23" borderId="50" xfId="0" applyFont="1" applyFill="1" applyBorder="1" applyAlignment="1" applyProtection="1">
      <alignment horizontal="left" vertical="top"/>
      <protection locked="0"/>
    </xf>
    <xf numFmtId="0" fontId="39" fillId="0" borderId="83" xfId="0" applyFont="1" applyFill="1" applyBorder="1" applyAlignment="1" applyProtection="1">
      <alignment horizontal="right" vertical="top"/>
      <protection locked="0"/>
    </xf>
    <xf numFmtId="0" fontId="39" fillId="0" borderId="61" xfId="0" applyFont="1" applyFill="1" applyBorder="1" applyAlignment="1" applyProtection="1">
      <alignment horizontal="right" vertical="top"/>
      <protection locked="0"/>
    </xf>
    <xf numFmtId="0" fontId="33" fillId="23" borderId="52" xfId="0" applyFont="1" applyFill="1" applyBorder="1" applyAlignment="1" applyProtection="1">
      <alignment horizontal="left" vertical="top"/>
      <protection locked="0"/>
    </xf>
    <xf numFmtId="0" fontId="33" fillId="23" borderId="20" xfId="0" applyFont="1" applyFill="1" applyBorder="1" applyAlignment="1" applyProtection="1">
      <alignment horizontal="left" vertical="top"/>
      <protection locked="0"/>
    </xf>
    <xf numFmtId="0" fontId="39" fillId="0" borderId="34" xfId="0" applyFont="1" applyFill="1" applyBorder="1" applyAlignment="1" applyProtection="1">
      <alignment horizontal="right" vertical="top"/>
      <protection locked="0"/>
    </xf>
    <xf numFmtId="0" fontId="39" fillId="0" borderId="30" xfId="0" applyFont="1" applyFill="1" applyBorder="1" applyAlignment="1" applyProtection="1">
      <alignment horizontal="right" vertical="top"/>
      <protection locked="0"/>
    </xf>
    <xf numFmtId="14" fontId="33" fillId="23" borderId="16" xfId="0" applyNumberFormat="1" applyFont="1" applyFill="1" applyBorder="1" applyAlignment="1" applyProtection="1">
      <alignment horizontal="left" vertical="top"/>
      <protection locked="0"/>
    </xf>
    <xf numFmtId="14" fontId="33" fillId="23" borderId="50" xfId="0" applyNumberFormat="1" applyFont="1" applyFill="1" applyBorder="1" applyAlignment="1" applyProtection="1">
      <alignment horizontal="left" vertical="top"/>
      <protection locked="0"/>
    </xf>
    <xf numFmtId="0" fontId="33" fillId="23" borderId="19" xfId="0" applyFont="1" applyFill="1" applyBorder="1" applyAlignment="1" applyProtection="1">
      <alignment horizontal="left" vertical="top"/>
      <protection locked="0"/>
    </xf>
    <xf numFmtId="0" fontId="39" fillId="9" borderId="30" xfId="0" applyFont="1" applyFill="1" applyBorder="1" applyAlignment="1" applyProtection="1">
      <alignment horizontal="center" vertical="top"/>
    </xf>
    <xf numFmtId="0" fontId="39" fillId="0" borderId="48" xfId="0" applyFont="1" applyFill="1" applyBorder="1" applyAlignment="1" applyProtection="1">
      <alignment horizontal="left" vertical="top"/>
      <protection locked="0"/>
    </xf>
    <xf numFmtId="0" fontId="39" fillId="0" borderId="3" xfId="0" applyFont="1" applyFill="1" applyBorder="1" applyAlignment="1" applyProtection="1">
      <alignment horizontal="left" vertical="top"/>
      <protection locked="0"/>
    </xf>
    <xf numFmtId="0" fontId="33" fillId="0" borderId="15" xfId="0" applyFont="1" applyFill="1" applyBorder="1" applyAlignment="1" applyProtection="1">
      <alignment horizontal="left" vertical="top"/>
    </xf>
    <xf numFmtId="0" fontId="33" fillId="0" borderId="66" xfId="0" applyFont="1" applyFill="1" applyBorder="1" applyAlignment="1" applyProtection="1">
      <alignment horizontal="left" vertical="top"/>
    </xf>
    <xf numFmtId="0" fontId="39" fillId="0" borderId="65" xfId="0" applyFont="1" applyFill="1" applyBorder="1" applyAlignment="1" applyProtection="1">
      <alignment horizontal="left" vertical="top"/>
      <protection locked="0"/>
    </xf>
    <xf numFmtId="0" fontId="39" fillId="0" borderId="67" xfId="0" applyFont="1" applyFill="1" applyBorder="1" applyAlignment="1" applyProtection="1">
      <alignment horizontal="left" vertical="top"/>
      <protection locked="0"/>
    </xf>
    <xf numFmtId="0" fontId="33" fillId="23" borderId="45" xfId="0" applyFont="1" applyFill="1" applyBorder="1" applyAlignment="1" applyProtection="1">
      <alignment horizontal="left" vertical="top"/>
      <protection locked="0"/>
    </xf>
    <xf numFmtId="0" fontId="33" fillId="23" borderId="21" xfId="0" applyFont="1" applyFill="1" applyBorder="1" applyAlignment="1" applyProtection="1">
      <alignment horizontal="left" vertical="top"/>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0" fontId="33" fillId="12" borderId="61" xfId="0" applyFont="1" applyFill="1" applyBorder="1" applyAlignment="1" applyProtection="1">
      <alignment horizontal="lef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39" fillId="0" borderId="30" xfId="0" applyFont="1" applyFill="1" applyBorder="1" applyAlignment="1" applyProtection="1">
      <alignment horizontal="center" vertical="top"/>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0" fontId="39" fillId="12" borderId="20" xfId="0" applyFont="1" applyFill="1" applyBorder="1" applyAlignment="1" applyProtection="1">
      <alignment horizontal="left" vertical="top"/>
      <protection locked="0"/>
    </xf>
    <xf numFmtId="0" fontId="39" fillId="12" borderId="82"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39" fillId="0" borderId="0" xfId="0" applyFont="1" applyFill="1" applyBorder="1" applyAlignment="1" applyProtection="1">
      <alignment horizontal="left" vertical="top"/>
      <protection locked="0"/>
    </xf>
    <xf numFmtId="0" fontId="55" fillId="0" borderId="34"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2" fillId="0" borderId="0" xfId="0" applyFont="1" applyFill="1" applyBorder="1" applyAlignment="1" applyProtection="1">
      <alignment horizontal="left" vertical="top"/>
      <protection locked="0"/>
    </xf>
    <xf numFmtId="0" fontId="39" fillId="0" borderId="0" xfId="0" applyFont="1" applyFill="1" applyBorder="1" applyAlignment="1" applyProtection="1">
      <alignment horizontal="left" vertical="top" wrapText="1"/>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45" fillId="0" borderId="0" xfId="0" applyFont="1" applyFill="1" applyBorder="1" applyAlignment="1" applyProtection="1">
      <alignment horizontal="left" vertical="top"/>
      <protection locked="0"/>
    </xf>
    <xf numFmtId="7" fontId="32" fillId="10" borderId="1" xfId="2" applyNumberFormat="1" applyFont="1" applyFill="1" applyBorder="1" applyAlignment="1" applyProtection="1">
      <alignment horizontal="center" vertical="center" wrapText="1"/>
    </xf>
    <xf numFmtId="7" fontId="32" fillId="10" borderId="6" xfId="2" applyNumberFormat="1" applyFont="1" applyFill="1" applyBorder="1" applyAlignment="1" applyProtection="1">
      <alignment horizontal="center" vertical="center" wrapText="1"/>
    </xf>
    <xf numFmtId="2" fontId="35" fillId="9" borderId="10" xfId="0" applyNumberFormat="1" applyFont="1" applyFill="1" applyBorder="1" applyAlignment="1" applyProtection="1">
      <alignment horizontal="center" vertical="center" wrapText="1"/>
    </xf>
    <xf numFmtId="2" fontId="35" fillId="9" borderId="12" xfId="0" applyNumberFormat="1" applyFont="1" applyFill="1" applyBorder="1" applyAlignment="1" applyProtection="1">
      <alignment horizontal="center" vertical="center" wrapText="1"/>
    </xf>
    <xf numFmtId="9" fontId="35" fillId="16" borderId="10" xfId="6" applyFont="1" applyFill="1" applyBorder="1" applyAlignment="1" applyProtection="1">
      <alignment horizontal="center" vertical="center" wrapText="1"/>
    </xf>
    <xf numFmtId="9" fontId="35" fillId="16" borderId="12" xfId="6" applyFont="1" applyFill="1" applyBorder="1" applyAlignment="1" applyProtection="1">
      <alignment horizontal="center" vertical="center" wrapText="1"/>
    </xf>
    <xf numFmtId="9" fontId="39" fillId="9" borderId="10" xfId="0" applyNumberFormat="1"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0" fontId="30" fillId="16" borderId="3" xfId="0" applyFont="1" applyFill="1" applyBorder="1" applyAlignment="1" applyProtection="1">
      <alignment horizontal="left" vertical="top" wrapText="1"/>
      <protection locked="0"/>
    </xf>
    <xf numFmtId="0" fontId="41" fillId="10" borderId="0" xfId="0" applyFont="1" applyFill="1" applyBorder="1" applyAlignment="1" applyProtection="1">
      <alignment horizontal="left" vertical="top"/>
      <protection locked="0"/>
    </xf>
    <xf numFmtId="0" fontId="45" fillId="10" borderId="0" xfId="0" applyFont="1" applyFill="1" applyBorder="1" applyAlignment="1" applyProtection="1">
      <alignment horizontal="left" vertical="top"/>
      <protection locked="0"/>
    </xf>
    <xf numFmtId="0" fontId="55" fillId="0" borderId="34" xfId="0" applyFont="1" applyBorder="1" applyAlignment="1" applyProtection="1">
      <alignment horizontal="center" vertical="center" wrapText="1"/>
      <protection locked="0"/>
    </xf>
    <xf numFmtId="0" fontId="55" fillId="0" borderId="30" xfId="0" applyFont="1" applyBorder="1" applyAlignment="1" applyProtection="1">
      <alignment horizontal="center" vertical="center" wrapText="1"/>
      <protection locked="0"/>
    </xf>
    <xf numFmtId="0" fontId="39" fillId="10" borderId="16" xfId="0" applyFont="1" applyFill="1" applyBorder="1" applyAlignment="1" applyProtection="1">
      <alignment horizontal="right" vertical="top"/>
      <protection locked="0"/>
    </xf>
    <xf numFmtId="0" fontId="39" fillId="10" borderId="85" xfId="0" applyFont="1" applyFill="1" applyBorder="1" applyAlignment="1" applyProtection="1">
      <alignment horizontal="left" vertical="top"/>
      <protection locked="0"/>
    </xf>
    <xf numFmtId="0" fontId="39" fillId="10" borderId="19"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9" fillId="10" borderId="52" xfId="0" applyFont="1" applyFill="1" applyBorder="1" applyAlignment="1" applyProtection="1">
      <alignment horizontal="right" vertical="top"/>
      <protection locked="0"/>
    </xf>
    <xf numFmtId="0" fontId="62" fillId="10" borderId="85" xfId="0" applyFont="1" applyFill="1" applyBorder="1" applyAlignment="1" applyProtection="1">
      <alignment horizontal="right" vertical="top"/>
      <protection locked="0"/>
    </xf>
    <xf numFmtId="0" fontId="62" fillId="10" borderId="19" xfId="0" applyFont="1" applyFill="1" applyBorder="1" applyAlignment="1" applyProtection="1">
      <alignment horizontal="right" vertical="top"/>
      <protection locked="0"/>
    </xf>
    <xf numFmtId="0" fontId="62" fillId="10" borderId="58" xfId="0" applyFont="1" applyFill="1" applyBorder="1" applyAlignment="1" applyProtection="1">
      <alignment horizontal="right" vertical="top"/>
      <protection locked="0"/>
    </xf>
    <xf numFmtId="9" fontId="33" fillId="10" borderId="16" xfId="0" applyNumberFormat="1" applyFont="1" applyFill="1" applyBorder="1" applyAlignment="1" applyProtection="1">
      <alignment horizontal="left" vertical="top" wrapText="1"/>
    </xf>
    <xf numFmtId="9" fontId="33" fillId="10" borderId="50" xfId="0" applyNumberFormat="1" applyFont="1" applyFill="1" applyBorder="1" applyAlignment="1" applyProtection="1">
      <alignment horizontal="left" vertical="top" wrapText="1"/>
    </xf>
    <xf numFmtId="0" fontId="39" fillId="10" borderId="85" xfId="0" applyFont="1" applyFill="1" applyBorder="1" applyAlignment="1" applyProtection="1">
      <alignment horizontal="left" vertical="center" wrapText="1"/>
    </xf>
    <xf numFmtId="0" fontId="39" fillId="10" borderId="19" xfId="0" applyFont="1" applyFill="1" applyBorder="1" applyAlignment="1" applyProtection="1">
      <alignment horizontal="left" vertical="center" wrapText="1"/>
    </xf>
    <xf numFmtId="0" fontId="39" fillId="10" borderId="58" xfId="0" applyFont="1" applyFill="1" applyBorder="1" applyAlignment="1" applyProtection="1">
      <alignment horizontal="left" vertical="center" wrapText="1"/>
    </xf>
    <xf numFmtId="7" fontId="32" fillId="10" borderId="16" xfId="2" applyNumberFormat="1" applyFont="1" applyFill="1" applyBorder="1" applyAlignment="1" applyProtection="1">
      <alignment horizontal="center" vertical="center" wrapText="1"/>
    </xf>
    <xf numFmtId="7" fontId="32" fillId="10" borderId="50" xfId="2" applyNumberFormat="1" applyFont="1" applyFill="1" applyBorder="1" applyAlignment="1" applyProtection="1">
      <alignment horizontal="center" vertical="center" wrapText="1"/>
    </xf>
    <xf numFmtId="0" fontId="39" fillId="10" borderId="83" xfId="0" applyFont="1" applyFill="1" applyBorder="1" applyAlignment="1" applyProtection="1">
      <alignment horizontal="left" vertical="center" wrapText="1"/>
    </xf>
    <xf numFmtId="0" fontId="39" fillId="10" borderId="20" xfId="0" applyFont="1" applyFill="1" applyBorder="1" applyAlignment="1" applyProtection="1">
      <alignment horizontal="left" vertical="center" wrapText="1"/>
    </xf>
    <xf numFmtId="0" fontId="39" fillId="10" borderId="61" xfId="0" applyFont="1" applyFill="1" applyBorder="1" applyAlignment="1" applyProtection="1">
      <alignment horizontal="left" vertical="center" wrapText="1"/>
    </xf>
    <xf numFmtId="0" fontId="32" fillId="10" borderId="82" xfId="0" applyFont="1" applyFill="1" applyBorder="1" applyAlignment="1" applyProtection="1">
      <alignment horizontal="center" vertical="center" wrapText="1"/>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0" fillId="0" borderId="24" xfId="0" applyFont="1" applyBorder="1" applyAlignment="1" applyProtection="1">
      <alignment horizontal="center" vertical="center" textRotation="90" wrapText="1"/>
      <protection locked="0"/>
    </xf>
    <xf numFmtId="0" fontId="11" fillId="16" borderId="45" xfId="0" applyFont="1" applyFill="1" applyBorder="1" applyAlignment="1" applyProtection="1">
      <alignment horizontal="left" vertical="top" wrapText="1"/>
      <protection locked="0"/>
    </xf>
    <xf numFmtId="0" fontId="11" fillId="16" borderId="21" xfId="0" applyFont="1" applyFill="1" applyBorder="1" applyAlignment="1" applyProtection="1">
      <alignment horizontal="left" vertical="top" wrapText="1"/>
      <protection locked="0"/>
    </xf>
    <xf numFmtId="0" fontId="11" fillId="16" borderId="69" xfId="0" applyFont="1" applyFill="1" applyBorder="1" applyAlignment="1" applyProtection="1">
      <alignment horizontal="left" vertical="top" wrapText="1"/>
      <protection locked="0"/>
    </xf>
    <xf numFmtId="0" fontId="39" fillId="10" borderId="45" xfId="0" applyFont="1" applyFill="1" applyBorder="1" applyAlignment="1" applyProtection="1">
      <alignment horizontal="left" vertical="top"/>
      <protection locked="0"/>
    </xf>
    <xf numFmtId="0" fontId="36" fillId="0" borderId="19" xfId="0" applyFont="1" applyFill="1" applyBorder="1" applyAlignment="1" applyProtection="1">
      <alignment horizontal="right" vertical="top" wrapText="1"/>
      <protection locked="0"/>
    </xf>
    <xf numFmtId="0" fontId="36" fillId="0" borderId="58" xfId="0" applyFont="1" applyFill="1" applyBorder="1" applyAlignment="1" applyProtection="1">
      <alignment horizontal="right" vertical="top" wrapText="1"/>
      <protection locked="0"/>
    </xf>
    <xf numFmtId="9" fontId="39" fillId="9" borderId="24" xfId="0" applyNumberFormat="1" applyFont="1" applyFill="1" applyBorder="1" applyAlignment="1" applyProtection="1">
      <alignment horizontal="center" vertical="top" wrapText="1"/>
    </xf>
    <xf numFmtId="9" fontId="39" fillId="9" borderId="121" xfId="0" applyNumberFormat="1" applyFont="1" applyFill="1" applyBorder="1" applyAlignment="1" applyProtection="1">
      <alignment horizontal="center" vertical="top" wrapText="1"/>
    </xf>
    <xf numFmtId="0" fontId="11" fillId="16" borderId="16" xfId="0" applyFont="1" applyFill="1" applyBorder="1" applyAlignment="1" applyProtection="1">
      <alignment horizontal="left" vertical="top" wrapText="1"/>
      <protection locked="0"/>
    </xf>
    <xf numFmtId="0" fontId="11" fillId="16" borderId="19" xfId="0" applyFont="1" applyFill="1" applyBorder="1" applyAlignment="1" applyProtection="1">
      <alignment horizontal="left" vertical="top" wrapText="1"/>
      <protection locked="0"/>
    </xf>
    <xf numFmtId="0" fontId="11" fillId="16" borderId="58" xfId="0" applyFont="1" applyFill="1" applyBorder="1" applyAlignment="1" applyProtection="1">
      <alignment horizontal="left" vertical="top" wrapText="1"/>
      <protection locked="0"/>
    </xf>
    <xf numFmtId="0" fontId="55" fillId="0" borderId="34" xfId="0" applyFont="1" applyFill="1" applyBorder="1" applyAlignment="1" applyProtection="1">
      <alignment horizontal="center" vertical="top" wrapText="1"/>
      <protection locked="0"/>
    </xf>
    <xf numFmtId="0" fontId="39" fillId="12" borderId="1" xfId="0" applyFont="1" applyFill="1" applyBorder="1" applyAlignment="1" applyProtection="1">
      <alignment horizontal="left" vertical="top"/>
      <protection locked="0"/>
    </xf>
    <xf numFmtId="0" fontId="39" fillId="12" borderId="53" xfId="0" applyFont="1" applyFill="1" applyBorder="1" applyAlignment="1" applyProtection="1">
      <alignment horizontal="left"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2" borderId="2" xfId="0" applyFont="1" applyFill="1" applyBorder="1" applyAlignment="1" applyProtection="1">
      <alignment horizontal="left" vertical="top"/>
      <protection locked="0"/>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60">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0.24994659260841701"/>
        </patternFill>
      </fill>
    </dxf>
    <dxf>
      <fill>
        <patternFill>
          <bgColor theme="0" tint="-0.24994659260841701"/>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285750</xdr:rowOff>
        </xdr:to>
        <xdr:sp macro="" textlink="">
          <xdr:nvSpPr>
            <xdr:cNvPr id="469003" name="Button 11" hidden="1">
              <a:extLst>
                <a:ext uri="{63B3BB69-23CF-44E3-9099-C40C66FF867C}">
                  <a14:compatExt spid="_x0000_s4690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104775</xdr:rowOff>
        </xdr:to>
        <xdr:sp macro="" textlink="">
          <xdr:nvSpPr>
            <xdr:cNvPr id="469004" name="Button 12" hidden="1">
              <a:extLst>
                <a:ext uri="{63B3BB69-23CF-44E3-9099-C40C66FF867C}">
                  <a14:compatExt spid="_x0000_s4690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85725</xdr:rowOff>
        </xdr:to>
        <xdr:sp macro="" textlink="">
          <xdr:nvSpPr>
            <xdr:cNvPr id="467986" name="Button 18" hidden="1">
              <a:extLst>
                <a:ext uri="{63B3BB69-23CF-44E3-9099-C40C66FF867C}">
                  <a14:compatExt spid="_x0000_s4679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16</xdr:row>
          <xdr:rowOff>161925</xdr:rowOff>
        </xdr:to>
        <xdr:sp macro="" textlink="">
          <xdr:nvSpPr>
            <xdr:cNvPr id="467987" name="Button 19" hidden="1">
              <a:extLst>
                <a:ext uri="{63B3BB69-23CF-44E3-9099-C40C66FF867C}">
                  <a14:compatExt spid="_x0000_s46798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523875</xdr:rowOff>
        </xdr:from>
        <xdr:to>
          <xdr:col>1</xdr:col>
          <xdr:colOff>266700</xdr:colOff>
          <xdr:row>18</xdr:row>
          <xdr:rowOff>0</xdr:rowOff>
        </xdr:to>
        <xdr:sp macro="" textlink="">
          <xdr:nvSpPr>
            <xdr:cNvPr id="404482" name="Button 2" hidden="1">
              <a:extLst>
                <a:ext uri="{63B3BB69-23CF-44E3-9099-C40C66FF867C}">
                  <a14:compatExt spid="_x0000_s4044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219075</xdr:rowOff>
        </xdr:from>
        <xdr:to>
          <xdr:col>1</xdr:col>
          <xdr:colOff>266700</xdr:colOff>
          <xdr:row>18</xdr:row>
          <xdr:rowOff>28575</xdr:rowOff>
        </xdr:to>
        <xdr:sp macro="" textlink="">
          <xdr:nvSpPr>
            <xdr:cNvPr id="404483" name="Button 3" hidden="1">
              <a:extLst>
                <a:ext uri="{63B3BB69-23CF-44E3-9099-C40C66FF867C}">
                  <a14:compatExt spid="_x0000_s4044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523875</xdr:rowOff>
        </xdr:from>
        <xdr:to>
          <xdr:col>1</xdr:col>
          <xdr:colOff>266700</xdr:colOff>
          <xdr:row>19</xdr:row>
          <xdr:rowOff>28575</xdr:rowOff>
        </xdr:to>
        <xdr:sp macro="" textlink="">
          <xdr:nvSpPr>
            <xdr:cNvPr id="405506" name="Button 2" hidden="1">
              <a:extLst>
                <a:ext uri="{63B3BB69-23CF-44E3-9099-C40C66FF867C}">
                  <a14:compatExt spid="_x0000_s4055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219075</xdr:rowOff>
        </xdr:from>
        <xdr:to>
          <xdr:col>1</xdr:col>
          <xdr:colOff>266700</xdr:colOff>
          <xdr:row>20</xdr:row>
          <xdr:rowOff>0</xdr:rowOff>
        </xdr:to>
        <xdr:sp macro="" textlink="">
          <xdr:nvSpPr>
            <xdr:cNvPr id="405507" name="Button 3" hidden="1">
              <a:extLst>
                <a:ext uri="{63B3BB69-23CF-44E3-9099-C40C66FF867C}">
                  <a14:compatExt spid="_x0000_s4055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66" name="Button 2" hidden="1">
              <a:extLst>
                <a:ext uri="{63B3BB69-23CF-44E3-9099-C40C66FF867C}">
                  <a14:compatExt spid="_x0000_s4208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2</xdr:col>
          <xdr:colOff>0</xdr:colOff>
          <xdr:row>14</xdr:row>
          <xdr:rowOff>219075</xdr:rowOff>
        </xdr:to>
        <xdr:sp macro="" textlink="">
          <xdr:nvSpPr>
            <xdr:cNvPr id="420867" name="Button 3" hidden="1">
              <a:extLst>
                <a:ext uri="{63B3BB69-23CF-44E3-9099-C40C66FF867C}">
                  <a14:compatExt spid="_x0000_s4208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73" name="Button 9" hidden="1">
              <a:extLst>
                <a:ext uri="{63B3BB69-23CF-44E3-9099-C40C66FF867C}">
                  <a14:compatExt spid="_x0000_s420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1</xdr:col>
          <xdr:colOff>276225</xdr:colOff>
          <xdr:row>14</xdr:row>
          <xdr:rowOff>190500</xdr:rowOff>
        </xdr:to>
        <xdr:sp macro="" textlink="">
          <xdr:nvSpPr>
            <xdr:cNvPr id="420874" name="Button 10" hidden="1">
              <a:extLst>
                <a:ext uri="{63B3BB69-23CF-44E3-9099-C40C66FF867C}">
                  <a14:compatExt spid="_x0000_s420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May%202015%20Rev%20Dist%20Training%20Spreadsheets%20-%20Participant%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ourts.ca.gov/documents/fin-rev-dist-May-2015-Revenue-Distribution-Training-Spreadsheets-Participant-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Delgadill\Desktop\RevDist-DistributionWorksheets-PostingVers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Top%20Down%20Worksheets%20for%20May%202015%20Trai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May 2015 Rev Dist Training Spre"/>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row r="13">
          <cell r="B13">
            <v>0</v>
          </cell>
        </row>
      </sheetData>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fin-rev-dist-May-2015-Revenue-D"/>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RevDist-DistributionWorksheets-"/>
    </sheetNames>
    <definedNames>
      <definedName name="mcrDisableTwoPercentUnprotect"/>
      <definedName name="mcrEnableTwoPercentUnprotec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P11">
            <v>7</v>
          </cell>
        </row>
        <row r="30">
          <cell r="B30">
            <v>2</v>
          </cell>
        </row>
        <row r="32">
          <cell r="B32">
            <v>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1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1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4.xml"/><Relationship Id="rId1" Type="http://schemas.openxmlformats.org/officeDocument/2006/relationships/printerSettings" Target="../printerSettings/printerSettings1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18.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9.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omments" Target="../comments12.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omments" Target="../comments1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omments" Target="../comments14.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26.bin"/><Relationship Id="rId6" Type="http://schemas.openxmlformats.org/officeDocument/2006/relationships/comments" Target="../comments15.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27.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28.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29.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30.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8.xml"/><Relationship Id="rId1" Type="http://schemas.openxmlformats.org/officeDocument/2006/relationships/printerSettings" Target="../printerSettings/printerSettings31.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0.xml"/><Relationship Id="rId2" Type="http://schemas.openxmlformats.org/officeDocument/2006/relationships/drawing" Target="../drawings/drawing19.xml"/><Relationship Id="rId1" Type="http://schemas.openxmlformats.org/officeDocument/2006/relationships/printerSettings" Target="../printerSettings/printerSettings32.bin"/><Relationship Id="rId6" Type="http://schemas.openxmlformats.org/officeDocument/2006/relationships/ctrlProp" Target="../ctrlProps/ctrlProp54.xml"/><Relationship Id="rId5" Type="http://schemas.openxmlformats.org/officeDocument/2006/relationships/ctrlProp" Target="../ctrlProps/ctrlProp53.xml"/><Relationship Id="rId4" Type="http://schemas.openxmlformats.org/officeDocument/2006/relationships/ctrlProp" Target="../ctrlProps/ctrlProp52.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2.vml"/><Relationship Id="rId7" Type="http://schemas.openxmlformats.org/officeDocument/2006/relationships/comments" Target="../comments21.xml"/><Relationship Id="rId2" Type="http://schemas.openxmlformats.org/officeDocument/2006/relationships/drawing" Target="../drawings/drawing20.xml"/><Relationship Id="rId1" Type="http://schemas.openxmlformats.org/officeDocument/2006/relationships/printerSettings" Target="../printerSettings/printerSettings33.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21.xml"/><Relationship Id="rId1" Type="http://schemas.openxmlformats.org/officeDocument/2006/relationships/printerSettings" Target="../printerSettings/printerSettings34.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omments" Target="../comments23.xml"/><Relationship Id="rId2" Type="http://schemas.openxmlformats.org/officeDocument/2006/relationships/drawing" Target="../drawings/drawing22.xml"/><Relationship Id="rId1" Type="http://schemas.openxmlformats.org/officeDocument/2006/relationships/printerSettings" Target="../printerSettings/printerSettings35.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workbookViewId="0">
      <selection activeCell="B8" sqref="B8"/>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147</v>
      </c>
    </row>
    <row r="3" spans="1:2" ht="18" x14ac:dyDescent="0.25">
      <c r="A3" s="1080" t="s">
        <v>569</v>
      </c>
      <c r="B3" s="1080"/>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San Diego County</v>
      </c>
      <c r="B8" s="802">
        <f>IF(AND(B5="Yes", B6="Yes"), VLOOKUP(B1,A12:B69,2), 7)</f>
        <v>7</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5" spans="1:2" x14ac:dyDescent="0.2">
      <c r="A75" s="803" t="s">
        <v>566</v>
      </c>
    </row>
    <row r="76" spans="1:2" x14ac:dyDescent="0.2">
      <c r="A76" s="803" t="s">
        <v>436</v>
      </c>
    </row>
    <row r="77" spans="1:2" x14ac:dyDescent="0.2">
      <c r="A77" s="803" t="s">
        <v>437</v>
      </c>
    </row>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P36"/>
  <sheetViews>
    <sheetView showRuler="0" zoomScale="80" zoomScaleNormal="100" zoomScaleSheetLayoutView="80" workbookViewId="0">
      <pane ySplit="7" topLeftCell="A14"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098" t="s">
        <v>561</v>
      </c>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c r="AI1" s="1099"/>
      <c r="AJ1" s="1099"/>
      <c r="AK1" s="1099"/>
      <c r="AL1" s="1099"/>
      <c r="AM1" s="1100"/>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115" t="s">
        <v>86</v>
      </c>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J3" s="1115"/>
      <c r="AK3" s="1115"/>
      <c r="AL3" s="1115"/>
      <c r="AM3" s="1115"/>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125" t="s">
        <v>398</v>
      </c>
      <c r="B5" s="1128" t="s">
        <v>16</v>
      </c>
      <c r="C5" s="1129"/>
      <c r="D5" s="1101" t="s">
        <v>2</v>
      </c>
      <c r="E5" s="1101" t="s">
        <v>392</v>
      </c>
      <c r="F5" s="1104" t="s">
        <v>87</v>
      </c>
      <c r="G5" s="1104" t="s">
        <v>372</v>
      </c>
      <c r="H5" s="1104" t="s">
        <v>85</v>
      </c>
      <c r="I5" s="1104" t="s">
        <v>17</v>
      </c>
      <c r="J5" s="1104" t="s">
        <v>88</v>
      </c>
      <c r="K5" s="1104" t="s">
        <v>110</v>
      </c>
      <c r="L5" s="1101" t="s">
        <v>81</v>
      </c>
      <c r="M5" s="1135" t="s">
        <v>393</v>
      </c>
      <c r="N5" s="1112" t="s">
        <v>18</v>
      </c>
      <c r="O5" s="1113"/>
      <c r="P5" s="1113"/>
      <c r="Q5" s="1113"/>
      <c r="R5" s="1113"/>
      <c r="S5" s="1113"/>
      <c r="T5" s="1113"/>
      <c r="U5" s="1113"/>
      <c r="V5" s="1113"/>
      <c r="W5" s="1113"/>
      <c r="X5" s="1113"/>
      <c r="Y5" s="1113"/>
      <c r="Z5" s="1113"/>
      <c r="AA5" s="1113"/>
      <c r="AB5" s="1113"/>
      <c r="AC5" s="1113"/>
      <c r="AD5" s="1113"/>
      <c r="AE5" s="1114"/>
      <c r="AF5" s="579"/>
      <c r="AG5" s="574"/>
      <c r="AH5" s="1116" t="s">
        <v>74</v>
      </c>
      <c r="AI5" s="1116" t="s">
        <v>18</v>
      </c>
      <c r="AJ5" s="1102" t="s">
        <v>84</v>
      </c>
      <c r="AK5" s="1102" t="s">
        <v>339</v>
      </c>
      <c r="AL5" s="1105" t="s">
        <v>340</v>
      </c>
      <c r="AM5" s="1105" t="s">
        <v>83</v>
      </c>
    </row>
    <row r="6" spans="1:41" ht="19.5" customHeight="1" thickBot="1" x14ac:dyDescent="0.25">
      <c r="A6" s="1126"/>
      <c r="B6" s="1130"/>
      <c r="C6" s="1131"/>
      <c r="D6" s="1102"/>
      <c r="E6" s="1102"/>
      <c r="F6" s="1105"/>
      <c r="G6" s="1105"/>
      <c r="H6" s="1105"/>
      <c r="I6" s="1105"/>
      <c r="J6" s="1105"/>
      <c r="K6" s="1105"/>
      <c r="L6" s="1102"/>
      <c r="M6" s="1136"/>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117"/>
      <c r="AI6" s="1117"/>
      <c r="AJ6" s="1110"/>
      <c r="AK6" s="1110"/>
      <c r="AL6" s="1108"/>
      <c r="AM6" s="1108"/>
    </row>
    <row r="7" spans="1:41" s="308" customFormat="1" ht="47.25" customHeight="1" thickBot="1" x14ac:dyDescent="0.25">
      <c r="A7" s="1127"/>
      <c r="B7" s="1132"/>
      <c r="C7" s="1133"/>
      <c r="D7" s="1103"/>
      <c r="E7" s="1103"/>
      <c r="F7" s="1107"/>
      <c r="G7" s="1107"/>
      <c r="H7" s="1107"/>
      <c r="I7" s="1106"/>
      <c r="J7" s="1107"/>
      <c r="K7" s="1107"/>
      <c r="L7" s="1103"/>
      <c r="M7" s="1137"/>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118"/>
      <c r="AI7" s="1118"/>
      <c r="AJ7" s="1111"/>
      <c r="AK7" s="1111"/>
      <c r="AL7" s="1109"/>
      <c r="AM7" s="1109"/>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082">
        <v>1</v>
      </c>
      <c r="AI8" s="1093"/>
      <c r="AJ8" s="1095"/>
      <c r="AK8" s="1094"/>
      <c r="AL8" s="1134">
        <f>N31</f>
        <v>0</v>
      </c>
      <c r="AM8" s="1094"/>
      <c r="AN8" s="1081"/>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083"/>
      <c r="AI9" s="1089"/>
      <c r="AJ9" s="1091"/>
      <c r="AK9" s="1089"/>
      <c r="AL9" s="1122"/>
      <c r="AM9" s="1089"/>
      <c r="AN9" s="1081"/>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092">
        <v>2</v>
      </c>
      <c r="AI10" s="1096"/>
      <c r="AJ10" s="1090"/>
      <c r="AK10" s="1088"/>
      <c r="AL10" s="1121">
        <f>O31</f>
        <v>0</v>
      </c>
      <c r="AM10" s="1119"/>
      <c r="AN10" s="1081"/>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083"/>
      <c r="AI11" s="1097"/>
      <c r="AJ11" s="1091"/>
      <c r="AK11" s="1089"/>
      <c r="AL11" s="1122"/>
      <c r="AM11" s="1120"/>
      <c r="AN11" s="1081"/>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092">
        <v>3</v>
      </c>
      <c r="AI12" s="1096"/>
      <c r="AJ12" s="1090"/>
      <c r="AK12" s="1088"/>
      <c r="AL12" s="1123">
        <f>P31</f>
        <v>0</v>
      </c>
      <c r="AM12" s="1088"/>
      <c r="AN12" s="1081"/>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083"/>
      <c r="AI13" s="1097"/>
      <c r="AJ13" s="1091"/>
      <c r="AK13" s="1089"/>
      <c r="AL13" s="1124"/>
      <c r="AM13" s="1089"/>
      <c r="AN13" s="1081"/>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092">
        <v>4</v>
      </c>
      <c r="AI14" s="1096"/>
      <c r="AJ14" s="1090"/>
      <c r="AK14" s="1088"/>
      <c r="AL14" s="1123">
        <f>Q31</f>
        <v>0</v>
      </c>
      <c r="AM14" s="1119"/>
      <c r="AN14" s="1081"/>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083"/>
      <c r="AI15" s="1097"/>
      <c r="AJ15" s="1091"/>
      <c r="AK15" s="1089"/>
      <c r="AL15" s="1124"/>
      <c r="AM15" s="1120"/>
      <c r="AN15" s="1081"/>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085">
        <v>5</v>
      </c>
      <c r="AI16" s="1088"/>
      <c r="AJ16" s="1090"/>
      <c r="AK16" s="1084"/>
      <c r="AL16" s="1142">
        <f>R31</f>
        <v>0</v>
      </c>
      <c r="AM16" s="1141"/>
      <c r="AN16" s="1081"/>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085"/>
      <c r="AI17" s="1089"/>
      <c r="AJ17" s="1091"/>
      <c r="AK17" s="1084"/>
      <c r="AL17" s="1142"/>
      <c r="AM17" s="1141"/>
      <c r="AN17" s="1081"/>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085">
        <v>6</v>
      </c>
      <c r="AI18" s="1088"/>
      <c r="AJ18" s="1090"/>
      <c r="AK18" s="1084"/>
      <c r="AL18" s="1087">
        <f>S31</f>
        <v>0</v>
      </c>
      <c r="AM18" s="1084"/>
      <c r="AN18" s="1081"/>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085"/>
      <c r="AI19" s="1089"/>
      <c r="AJ19" s="1091"/>
      <c r="AK19" s="1084"/>
      <c r="AL19" s="1087"/>
      <c r="AM19" s="1084"/>
      <c r="AN19" s="1081"/>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085">
        <v>7</v>
      </c>
      <c r="AI20" s="1088"/>
      <c r="AJ20" s="1090"/>
      <c r="AK20" s="1084"/>
      <c r="AL20" s="1087">
        <f>T31</f>
        <v>0</v>
      </c>
      <c r="AM20" s="1084"/>
      <c r="AN20" s="1081"/>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085"/>
      <c r="AI21" s="1089"/>
      <c r="AJ21" s="1091"/>
      <c r="AK21" s="1084"/>
      <c r="AL21" s="1087"/>
      <c r="AM21" s="1084"/>
      <c r="AN21" s="1081"/>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085">
        <v>8</v>
      </c>
      <c r="AI22" s="1084"/>
      <c r="AJ22" s="1086"/>
      <c r="AK22" s="1084"/>
      <c r="AL22" s="1087">
        <f>U31</f>
        <v>0</v>
      </c>
      <c r="AM22" s="1084"/>
      <c r="AN22" s="1081"/>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085"/>
      <c r="AI23" s="1084"/>
      <c r="AJ23" s="1086"/>
      <c r="AK23" s="1084"/>
      <c r="AL23" s="1087"/>
      <c r="AM23" s="1084"/>
      <c r="AN23" s="1081"/>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085">
        <v>9</v>
      </c>
      <c r="AI24" s="1088"/>
      <c r="AJ24" s="1090"/>
      <c r="AK24" s="1084"/>
      <c r="AL24" s="1087">
        <f>V31</f>
        <v>0</v>
      </c>
      <c r="AM24" s="1084"/>
      <c r="AN24" s="1081"/>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085"/>
      <c r="AI25" s="1089"/>
      <c r="AJ25" s="1091"/>
      <c r="AK25" s="1084"/>
      <c r="AL25" s="1087"/>
      <c r="AM25" s="1084"/>
      <c r="AN25" s="1081"/>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085">
        <v>10</v>
      </c>
      <c r="AI26" s="1084"/>
      <c r="AJ26" s="1086"/>
      <c r="AK26" s="1084"/>
      <c r="AL26" s="1087">
        <f>W31</f>
        <v>0</v>
      </c>
      <c r="AM26" s="1084"/>
      <c r="AN26" s="1081"/>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085"/>
      <c r="AI27" s="1084"/>
      <c r="AJ27" s="1086"/>
      <c r="AK27" s="1084"/>
      <c r="AL27" s="1087"/>
      <c r="AM27" s="1084"/>
      <c r="AN27" s="1081"/>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138" t="s">
        <v>394</v>
      </c>
      <c r="O30" s="1139"/>
      <c r="P30" s="1139"/>
      <c r="Q30" s="1139"/>
      <c r="R30" s="1139"/>
      <c r="S30" s="1139"/>
      <c r="T30" s="1139"/>
      <c r="U30" s="1139"/>
      <c r="V30" s="1139"/>
      <c r="W30" s="1139"/>
      <c r="X30" s="1139"/>
      <c r="Y30" s="1139"/>
      <c r="Z30" s="1139"/>
      <c r="AA30" s="1139"/>
      <c r="AB30" s="1139"/>
      <c r="AC30" s="1139"/>
      <c r="AD30" s="1139"/>
      <c r="AE30" s="1140"/>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58" priority="2" stopIfTrue="1">
      <formula>MOD(ROW(),2)=0</formula>
    </cfRule>
  </conditionalFormatting>
  <conditionalFormatting sqref="AH29:AM29 AJ8:AM8 AI8:AI14 AJ10:AJ14 AH8:AH28 AK10:AM28 AI12:AJ28">
    <cfRule type="expression" dxfId="157"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showRuler="0" workbookViewId="0">
      <selection activeCell="H40" sqref="H40"/>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143" t="s">
        <v>103</v>
      </c>
      <c r="D8" s="1143"/>
      <c r="E8" s="1143"/>
      <c r="F8" s="1143"/>
      <c r="G8" s="1143"/>
      <c r="H8" s="1143"/>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showRuler="0" topLeftCell="A10" zoomScale="75" zoomScaleNormal="90" workbookViewId="0">
      <selection activeCell="U41" sqref="U41"/>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187" t="s">
        <v>258</v>
      </c>
      <c r="B1" s="1188"/>
      <c r="C1" s="1188"/>
      <c r="D1" s="1188"/>
      <c r="E1" s="1188"/>
      <c r="F1" s="1188"/>
      <c r="G1" s="1188"/>
      <c r="H1" s="1188"/>
      <c r="I1" s="1188"/>
      <c r="J1" s="1188"/>
      <c r="K1" s="1188"/>
      <c r="L1" s="1185" t="s">
        <v>282</v>
      </c>
      <c r="M1" s="1185"/>
      <c r="N1" s="1185"/>
      <c r="O1" s="1185"/>
      <c r="P1" s="1185"/>
      <c r="Q1" s="1185"/>
      <c r="R1" s="1185"/>
      <c r="S1" s="1186"/>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205" t="s">
        <v>234</v>
      </c>
      <c r="B3" s="1206"/>
      <c r="C3" s="1206"/>
      <c r="D3" s="1206"/>
      <c r="E3" s="1206"/>
      <c r="F3" s="1206"/>
      <c r="G3" s="1206"/>
      <c r="H3" s="1206"/>
      <c r="I3" s="1206"/>
      <c r="J3" s="1206"/>
      <c r="K3" s="1206"/>
      <c r="L3" s="1206"/>
      <c r="M3" s="1206"/>
      <c r="N3" s="1207"/>
      <c r="O3" s="175"/>
      <c r="P3" s="1208" t="s">
        <v>261</v>
      </c>
      <c r="Q3" s="1209"/>
      <c r="R3" s="1209"/>
      <c r="S3" s="1210"/>
      <c r="U3" s="174" t="s">
        <v>250</v>
      </c>
    </row>
    <row r="4" spans="1:24" s="57" customFormat="1" ht="15.75" x14ac:dyDescent="0.2">
      <c r="A4" s="1202" t="s">
        <v>231</v>
      </c>
      <c r="B4" s="1199"/>
      <c r="C4" s="1199"/>
      <c r="D4" s="1203" t="str">
        <f>L1</f>
        <v>CASE NUMBER</v>
      </c>
      <c r="E4" s="1204"/>
      <c r="F4" s="1217" t="s">
        <v>28</v>
      </c>
      <c r="G4" s="1197"/>
      <c r="H4" s="208"/>
      <c r="I4" s="1194" t="s">
        <v>263</v>
      </c>
      <c r="J4" s="1195"/>
      <c r="K4" s="1197" t="s">
        <v>257</v>
      </c>
      <c r="L4" s="1197"/>
      <c r="M4" s="1197"/>
      <c r="N4" s="209">
        <v>390</v>
      </c>
      <c r="O4" s="56"/>
      <c r="P4" s="1211" t="s">
        <v>236</v>
      </c>
      <c r="Q4" s="1212"/>
      <c r="R4" s="1212"/>
      <c r="S4" s="1213"/>
      <c r="U4" s="172" t="s">
        <v>31</v>
      </c>
      <c r="V4" s="176">
        <f>SUMIF(G16:G43,"STATE",L16:L43)</f>
        <v>860.54000000000008</v>
      </c>
    </row>
    <row r="5" spans="1:24" s="57" customFormat="1" ht="15.75" x14ac:dyDescent="0.2">
      <c r="A5" s="1200" t="s">
        <v>4</v>
      </c>
      <c r="B5" s="1201"/>
      <c r="C5" s="1201"/>
      <c r="D5" s="1221"/>
      <c r="E5" s="1193"/>
      <c r="F5" s="1220" t="s">
        <v>244</v>
      </c>
      <c r="G5" s="1196"/>
      <c r="H5" s="185"/>
      <c r="I5" s="1158" t="s">
        <v>265</v>
      </c>
      <c r="J5" s="1159"/>
      <c r="K5" s="1196" t="s">
        <v>22</v>
      </c>
      <c r="L5" s="1196"/>
      <c r="M5" s="1196"/>
      <c r="N5" s="58"/>
      <c r="O5" s="56"/>
      <c r="P5" s="1214" t="s">
        <v>237</v>
      </c>
      <c r="Q5" s="1215"/>
      <c r="R5" s="1215"/>
      <c r="S5" s="1216"/>
      <c r="U5" s="172" t="s">
        <v>32</v>
      </c>
      <c r="V5" s="176">
        <f>SUMIF(G16:G43,"COUNTY",L16:L43)</f>
        <v>1069.46</v>
      </c>
    </row>
    <row r="6" spans="1:24" s="57" customFormat="1" ht="16.5" thickBot="1" x14ac:dyDescent="0.25">
      <c r="A6" s="1200" t="s">
        <v>12</v>
      </c>
      <c r="B6" s="1201"/>
      <c r="C6" s="1201"/>
      <c r="D6" s="1158"/>
      <c r="E6" s="1193"/>
      <c r="F6" s="1220" t="s">
        <v>20</v>
      </c>
      <c r="G6" s="1196"/>
      <c r="H6" s="185"/>
      <c r="I6" s="1158" t="s">
        <v>266</v>
      </c>
      <c r="J6" s="1159"/>
      <c r="K6" s="1182" t="s">
        <v>233</v>
      </c>
      <c r="L6" s="1182"/>
      <c r="M6" s="1182"/>
      <c r="N6" s="212">
        <f>N4+N5*10</f>
        <v>390</v>
      </c>
      <c r="O6" s="56"/>
      <c r="P6" s="1248" t="s">
        <v>238</v>
      </c>
      <c r="Q6" s="1249"/>
      <c r="R6" s="1249"/>
      <c r="S6" s="1250"/>
      <c r="U6" s="172" t="s">
        <v>52</v>
      </c>
      <c r="V6" s="176">
        <f>SUMIF(G16:G43,"CITY",L16:L43)</f>
        <v>0</v>
      </c>
    </row>
    <row r="7" spans="1:24" s="57" customFormat="1" ht="16.5" thickBot="1" x14ac:dyDescent="0.25">
      <c r="A7" s="1200" t="s">
        <v>5</v>
      </c>
      <c r="B7" s="1201"/>
      <c r="C7" s="1201"/>
      <c r="D7" s="1158" t="s">
        <v>264</v>
      </c>
      <c r="E7" s="1193"/>
      <c r="F7" s="1173" t="s">
        <v>21</v>
      </c>
      <c r="G7" s="1174"/>
      <c r="H7" s="186"/>
      <c r="I7" s="1156"/>
      <c r="J7" s="1157"/>
      <c r="K7" s="1222"/>
      <c r="L7" s="1223"/>
      <c r="M7" s="1223"/>
      <c r="N7" s="213"/>
      <c r="O7" s="56"/>
      <c r="P7" s="1251" t="s">
        <v>235</v>
      </c>
      <c r="Q7" s="1252"/>
      <c r="R7" s="1252"/>
      <c r="S7" s="1253"/>
      <c r="U7" s="172" t="s">
        <v>230</v>
      </c>
      <c r="V7" s="176">
        <f>SUMIF(G16:G43,"COURT",L16:L43)</f>
        <v>0</v>
      </c>
    </row>
    <row r="8" spans="1:24" s="57" customFormat="1" ht="15.75" x14ac:dyDescent="0.2">
      <c r="A8" s="1228" t="s">
        <v>54</v>
      </c>
      <c r="B8" s="1196"/>
      <c r="C8" s="1196"/>
      <c r="D8" s="1191">
        <v>1</v>
      </c>
      <c r="E8" s="1192"/>
      <c r="F8" s="1198" t="s">
        <v>253</v>
      </c>
      <c r="G8" s="1199"/>
      <c r="H8" s="187"/>
      <c r="I8" s="1224"/>
      <c r="J8" s="1225"/>
      <c r="K8" s="1199" t="s">
        <v>257</v>
      </c>
      <c r="L8" s="1199"/>
      <c r="M8" s="1199"/>
      <c r="N8" s="55">
        <v>0</v>
      </c>
      <c r="O8" s="56"/>
      <c r="P8" s="1265" t="s">
        <v>255</v>
      </c>
      <c r="Q8" s="1266"/>
      <c r="R8" s="1266"/>
      <c r="S8" s="1267"/>
      <c r="U8" s="194" t="s">
        <v>251</v>
      </c>
      <c r="V8" s="176">
        <f>SUMIF(G16:G43,"Crt OR Cty",L16:L43)</f>
        <v>10</v>
      </c>
    </row>
    <row r="9" spans="1:24" s="57" customFormat="1" ht="18" customHeight="1" thickBot="1" x14ac:dyDescent="0.25">
      <c r="A9" s="1227" t="s">
        <v>53</v>
      </c>
      <c r="B9" s="1182"/>
      <c r="C9" s="1182"/>
      <c r="D9" s="1189">
        <f>100%-D8</f>
        <v>0</v>
      </c>
      <c r="E9" s="1190"/>
      <c r="F9" s="1220" t="s">
        <v>244</v>
      </c>
      <c r="G9" s="1196"/>
      <c r="H9" s="185"/>
      <c r="I9" s="1158"/>
      <c r="J9" s="1159"/>
      <c r="K9" s="1196" t="s">
        <v>22</v>
      </c>
      <c r="L9" s="1196"/>
      <c r="M9" s="1196"/>
      <c r="N9" s="58"/>
      <c r="P9" s="1268"/>
      <c r="Q9" s="1269"/>
      <c r="R9" s="1269"/>
      <c r="S9" s="1270"/>
      <c r="U9" s="173" t="s">
        <v>246</v>
      </c>
      <c r="V9" s="148">
        <f>SUM(V4:V8)</f>
        <v>1940</v>
      </c>
      <c r="W9" s="65"/>
    </row>
    <row r="10" spans="1:24" s="57" customFormat="1" ht="16.5" customHeight="1" thickBot="1" x14ac:dyDescent="0.25">
      <c r="A10" s="1152" t="s">
        <v>276</v>
      </c>
      <c r="B10" s="1153"/>
      <c r="C10" s="1153"/>
      <c r="D10" s="1148">
        <f>N6+N10</f>
        <v>390</v>
      </c>
      <c r="E10" s="1149"/>
      <c r="F10" s="1220" t="s">
        <v>20</v>
      </c>
      <c r="G10" s="1196"/>
      <c r="H10" s="185"/>
      <c r="I10" s="1158"/>
      <c r="J10" s="1159"/>
      <c r="K10" s="1182" t="s">
        <v>233</v>
      </c>
      <c r="L10" s="1182"/>
      <c r="M10" s="1182"/>
      <c r="N10" s="212">
        <f>N8+N9*10</f>
        <v>0</v>
      </c>
      <c r="P10" s="1262" t="s">
        <v>239</v>
      </c>
      <c r="Q10" s="1263"/>
      <c r="R10" s="1263"/>
      <c r="S10" s="1264"/>
      <c r="V10" s="177">
        <f>V9-L45</f>
        <v>0</v>
      </c>
      <c r="W10" s="65"/>
    </row>
    <row r="11" spans="1:24" s="57" customFormat="1" ht="16.5" customHeight="1" thickBot="1" x14ac:dyDescent="0.25">
      <c r="A11" s="1150" t="s">
        <v>277</v>
      </c>
      <c r="B11" s="1151"/>
      <c r="C11" s="1151"/>
      <c r="D11" s="1146">
        <f>ROUNDUP(D10/10,0)</f>
        <v>39</v>
      </c>
      <c r="E11" s="1147"/>
      <c r="F11" s="1173" t="s">
        <v>21</v>
      </c>
      <c r="G11" s="1174"/>
      <c r="H11" s="186"/>
      <c r="I11" s="1156"/>
      <c r="J11" s="1157"/>
      <c r="K11" s="1180"/>
      <c r="L11" s="1181"/>
      <c r="M11" s="1181"/>
      <c r="N11" s="214"/>
      <c r="P11" s="1242" t="s">
        <v>245</v>
      </c>
      <c r="Q11" s="1243"/>
      <c r="R11" s="1243"/>
      <c r="S11" s="1244"/>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175" t="s">
        <v>228</v>
      </c>
      <c r="J13" s="1176"/>
      <c r="K13" s="1176"/>
      <c r="L13" s="1177"/>
      <c r="M13" s="110"/>
      <c r="N13" s="1245" t="s">
        <v>229</v>
      </c>
      <c r="O13" s="1246"/>
      <c r="P13" s="1247"/>
      <c r="Q13" s="111"/>
      <c r="R13" s="158"/>
      <c r="S13" s="159"/>
      <c r="T13" s="108"/>
      <c r="U13" s="108"/>
      <c r="V13" s="108"/>
      <c r="W13" s="108"/>
      <c r="X13" s="108"/>
    </row>
    <row r="14" spans="1:24" ht="44.25" customHeight="1" thickBot="1" x14ac:dyDescent="0.25">
      <c r="A14" s="112">
        <v>0.02</v>
      </c>
      <c r="B14" s="112" t="s">
        <v>58</v>
      </c>
      <c r="C14" s="1160" t="s">
        <v>226</v>
      </c>
      <c r="D14" s="1161"/>
      <c r="E14" s="1161"/>
      <c r="F14" s="1162"/>
      <c r="G14" s="113" t="s">
        <v>249</v>
      </c>
      <c r="H14" s="114" t="s">
        <v>0</v>
      </c>
      <c r="I14" s="188" t="s">
        <v>247</v>
      </c>
      <c r="J14" s="120" t="s">
        <v>252</v>
      </c>
      <c r="K14" s="118" t="s">
        <v>6</v>
      </c>
      <c r="L14" s="119" t="s">
        <v>240</v>
      </c>
      <c r="M14" s="67"/>
      <c r="N14" s="1256" t="s">
        <v>260</v>
      </c>
      <c r="O14" s="1257"/>
      <c r="P14" s="120" t="s">
        <v>248</v>
      </c>
      <c r="Q14" s="121"/>
      <c r="R14" s="1260" t="s">
        <v>256</v>
      </c>
      <c r="S14" s="1258" t="s">
        <v>61</v>
      </c>
    </row>
    <row r="15" spans="1:24" ht="19.5" customHeight="1" thickBot="1" x14ac:dyDescent="0.25">
      <c r="A15" s="115"/>
      <c r="B15" s="115"/>
      <c r="C15" s="1163"/>
      <c r="D15" s="1164"/>
      <c r="E15" s="1164"/>
      <c r="F15" s="1165"/>
      <c r="G15" s="116"/>
      <c r="H15" s="116"/>
      <c r="I15" s="117"/>
      <c r="J15" s="161">
        <f>J33/I33</f>
        <v>0.71794871794871795</v>
      </c>
      <c r="K15" s="1218" t="s">
        <v>227</v>
      </c>
      <c r="L15" s="1219"/>
      <c r="M15" s="68"/>
      <c r="N15" s="1254"/>
      <c r="O15" s="1255"/>
      <c r="P15" s="189"/>
      <c r="Q15" s="121"/>
      <c r="R15" s="1261"/>
      <c r="S15" s="1259"/>
    </row>
    <row r="16" spans="1:24" s="74" customFormat="1" ht="15.75" customHeight="1" thickTop="1" x14ac:dyDescent="0.2">
      <c r="A16" s="69" t="s">
        <v>8</v>
      </c>
      <c r="B16" s="1178" t="s">
        <v>241</v>
      </c>
      <c r="C16" s="1226" t="s">
        <v>242</v>
      </c>
      <c r="D16" s="1226"/>
      <c r="E16" s="1226"/>
      <c r="F16" s="1226"/>
      <c r="G16" s="70" t="s">
        <v>32</v>
      </c>
      <c r="H16" s="71" t="s">
        <v>14</v>
      </c>
      <c r="I16" s="154">
        <v>50</v>
      </c>
      <c r="J16" s="160">
        <f>I16</f>
        <v>50</v>
      </c>
      <c r="K16" s="162">
        <f>IF(A16="Y", IF($K$15="BASE-UP",I16*2%, IF($K$15="TOP-DOWN", J16*2%,0)),0)</f>
        <v>1</v>
      </c>
      <c r="L16" s="166">
        <f t="shared" ref="L16:L32" si="0">IF($K$15="BASE-UP", I16-K16, IF($K$15="TOP-DOWN", J16-K16,0))</f>
        <v>49</v>
      </c>
      <c r="M16" s="164"/>
      <c r="N16" s="1271"/>
      <c r="O16" s="1272"/>
      <c r="P16" s="190">
        <v>50</v>
      </c>
      <c r="Q16" s="72"/>
      <c r="R16" s="181">
        <f>P16-L16</f>
        <v>1</v>
      </c>
      <c r="S16" s="105"/>
      <c r="T16" s="125"/>
      <c r="U16" s="125"/>
      <c r="V16" s="125"/>
      <c r="W16" s="125"/>
      <c r="X16" s="125"/>
    </row>
    <row r="17" spans="1:24" s="74" customFormat="1" ht="15.75" customHeight="1" x14ac:dyDescent="0.2">
      <c r="A17" s="69" t="s">
        <v>8</v>
      </c>
      <c r="B17" s="1178"/>
      <c r="C17" s="1172" t="s">
        <v>283</v>
      </c>
      <c r="D17" s="1172"/>
      <c r="E17" s="1172"/>
      <c r="F17" s="1172"/>
      <c r="G17" s="76" t="s">
        <v>32</v>
      </c>
      <c r="H17" s="77" t="s">
        <v>14</v>
      </c>
      <c r="I17" s="156">
        <v>50</v>
      </c>
      <c r="J17" s="155">
        <f>I17</f>
        <v>50</v>
      </c>
      <c r="K17" s="162">
        <f t="shared" ref="K17:K42" si="1">IF(A17="Y", IF($K$15="BASE-UP",I17*2%, IF($K$15="TOP-DOWN", J17*2%,0)),0)</f>
        <v>1</v>
      </c>
      <c r="L17" s="167">
        <f t="shared" si="0"/>
        <v>49</v>
      </c>
      <c r="M17" s="164"/>
      <c r="N17" s="1183"/>
      <c r="O17" s="1184"/>
      <c r="P17" s="78"/>
      <c r="Q17" s="72"/>
      <c r="R17" s="182">
        <f t="shared" ref="R17:R43" si="2">P17-L17</f>
        <v>-49</v>
      </c>
      <c r="S17" s="73"/>
      <c r="T17" s="125"/>
      <c r="U17" s="125"/>
      <c r="V17" s="125"/>
      <c r="W17" s="125"/>
      <c r="X17" s="125"/>
    </row>
    <row r="18" spans="1:24" s="74" customFormat="1" ht="15.75" customHeight="1" x14ac:dyDescent="0.2">
      <c r="A18" s="69" t="s">
        <v>8</v>
      </c>
      <c r="B18" s="1178"/>
      <c r="C18" s="1172" t="s">
        <v>243</v>
      </c>
      <c r="D18" s="1172"/>
      <c r="E18" s="1172"/>
      <c r="F18" s="1172"/>
      <c r="G18" s="76" t="s">
        <v>31</v>
      </c>
      <c r="H18" s="77" t="s">
        <v>51</v>
      </c>
      <c r="I18" s="156">
        <v>20</v>
      </c>
      <c r="J18" s="155">
        <f>I18</f>
        <v>20</v>
      </c>
      <c r="K18" s="162">
        <f t="shared" si="1"/>
        <v>0.4</v>
      </c>
      <c r="L18" s="167">
        <f t="shared" si="0"/>
        <v>19.600000000000001</v>
      </c>
      <c r="M18" s="164"/>
      <c r="N18" s="1183"/>
      <c r="O18" s="1184"/>
      <c r="P18" s="78"/>
      <c r="Q18" s="72"/>
      <c r="R18" s="182">
        <f t="shared" si="2"/>
        <v>-19.600000000000001</v>
      </c>
      <c r="S18" s="73"/>
      <c r="T18" s="125"/>
      <c r="U18" s="125"/>
      <c r="V18" s="125"/>
      <c r="W18" s="125"/>
      <c r="X18" s="125"/>
    </row>
    <row r="19" spans="1:24" s="74" customFormat="1" ht="15.75" customHeight="1" x14ac:dyDescent="0.2">
      <c r="A19" s="69" t="s">
        <v>8</v>
      </c>
      <c r="B19" s="1178"/>
      <c r="C19" s="1172" t="s">
        <v>212</v>
      </c>
      <c r="D19" s="1172"/>
      <c r="E19" s="1172"/>
      <c r="F19" s="1172"/>
      <c r="G19" s="76" t="s">
        <v>32</v>
      </c>
      <c r="H19" s="77" t="s">
        <v>27</v>
      </c>
      <c r="I19" s="155">
        <f>(D10-SUM(I16:I18))*D8</f>
        <v>270</v>
      </c>
      <c r="J19" s="155">
        <f>((SUM(I16:I20)*J15)-SUM(J16:J18))*D8</f>
        <v>160</v>
      </c>
      <c r="K19" s="162">
        <f t="shared" si="1"/>
        <v>5.4</v>
      </c>
      <c r="L19" s="167">
        <f t="shared" si="0"/>
        <v>264.60000000000002</v>
      </c>
      <c r="M19" s="164"/>
      <c r="N19" s="1183"/>
      <c r="O19" s="1184"/>
      <c r="P19" s="78"/>
      <c r="Q19" s="72"/>
      <c r="R19" s="182">
        <f t="shared" si="2"/>
        <v>-264.60000000000002</v>
      </c>
      <c r="S19" s="73"/>
      <c r="T19" s="125"/>
      <c r="U19" s="125"/>
      <c r="V19" s="125"/>
      <c r="W19" s="125"/>
      <c r="X19" s="125"/>
    </row>
    <row r="20" spans="1:24" s="74" customFormat="1" ht="15.75" customHeight="1" x14ac:dyDescent="0.2">
      <c r="A20" s="69" t="s">
        <v>8</v>
      </c>
      <c r="B20" s="1179"/>
      <c r="C20" s="1172" t="s">
        <v>213</v>
      </c>
      <c r="D20" s="1172"/>
      <c r="E20" s="1172"/>
      <c r="F20" s="1172"/>
      <c r="G20" s="76" t="s">
        <v>52</v>
      </c>
      <c r="H20" s="77" t="s">
        <v>25</v>
      </c>
      <c r="I20" s="155">
        <f>(D10-SUM(I16:I18))*D9</f>
        <v>0</v>
      </c>
      <c r="J20" s="155">
        <f>((SUM(I16:I20)*J15)-SUM(J16:J18))*D9</f>
        <v>0</v>
      </c>
      <c r="K20" s="162">
        <f t="shared" si="1"/>
        <v>0</v>
      </c>
      <c r="L20" s="167">
        <f t="shared" si="0"/>
        <v>0</v>
      </c>
      <c r="M20" s="164"/>
      <c r="N20" s="1183"/>
      <c r="O20" s="1184"/>
      <c r="P20" s="78"/>
      <c r="Q20" s="72"/>
      <c r="R20" s="182">
        <f t="shared" si="2"/>
        <v>0</v>
      </c>
      <c r="S20" s="73"/>
      <c r="T20" s="125"/>
      <c r="U20" s="125"/>
      <c r="V20" s="125"/>
      <c r="W20" s="125"/>
      <c r="X20" s="125"/>
    </row>
    <row r="21" spans="1:24" s="74" customFormat="1" ht="15.75" customHeight="1" x14ac:dyDescent="0.2">
      <c r="A21" s="69" t="s">
        <v>8</v>
      </c>
      <c r="B21" s="75">
        <v>7</v>
      </c>
      <c r="C21" s="1172" t="s">
        <v>214</v>
      </c>
      <c r="D21" s="1172"/>
      <c r="E21" s="1172"/>
      <c r="F21" s="1172"/>
      <c r="G21" s="76" t="s">
        <v>31</v>
      </c>
      <c r="H21" s="77" t="s">
        <v>26</v>
      </c>
      <c r="I21" s="155">
        <f>$D$11*B21</f>
        <v>273</v>
      </c>
      <c r="J21" s="155">
        <f>$J$15*I21</f>
        <v>196</v>
      </c>
      <c r="K21" s="162">
        <f t="shared" si="1"/>
        <v>5.46</v>
      </c>
      <c r="L21" s="167">
        <f t="shared" si="0"/>
        <v>267.54000000000002</v>
      </c>
      <c r="M21" s="164"/>
      <c r="N21" s="1183"/>
      <c r="O21" s="1184"/>
      <c r="P21" s="80"/>
      <c r="Q21" s="81"/>
      <c r="R21" s="182">
        <f t="shared" si="2"/>
        <v>-267.54000000000002</v>
      </c>
      <c r="S21" s="73"/>
      <c r="T21" s="125"/>
      <c r="U21" s="125"/>
      <c r="V21" s="125"/>
      <c r="W21" s="125"/>
      <c r="X21" s="125"/>
    </row>
    <row r="22" spans="1:24" s="74" customFormat="1" ht="15.75" customHeight="1" x14ac:dyDescent="0.2">
      <c r="A22" s="69" t="s">
        <v>8</v>
      </c>
      <c r="B22" s="75">
        <v>3</v>
      </c>
      <c r="C22" s="1183" t="s">
        <v>215</v>
      </c>
      <c r="D22" s="1240"/>
      <c r="E22" s="1240"/>
      <c r="F22" s="1241"/>
      <c r="G22" s="76" t="s">
        <v>32</v>
      </c>
      <c r="H22" s="77" t="s">
        <v>27</v>
      </c>
      <c r="I22" s="155">
        <f t="shared" ref="I22:I31" si="3">$D$11*B22</f>
        <v>117</v>
      </c>
      <c r="J22" s="155">
        <f t="shared" ref="J22:J32" si="4">$J$15*I22</f>
        <v>84</v>
      </c>
      <c r="K22" s="162">
        <f t="shared" si="1"/>
        <v>2.34</v>
      </c>
      <c r="L22" s="167">
        <f t="shared" si="0"/>
        <v>114.66</v>
      </c>
      <c r="M22" s="164"/>
      <c r="N22" s="1183"/>
      <c r="O22" s="1184"/>
      <c r="P22" s="78"/>
      <c r="Q22" s="72"/>
      <c r="R22" s="182">
        <f t="shared" si="2"/>
        <v>-114.66</v>
      </c>
      <c r="S22" s="73"/>
      <c r="T22" s="125"/>
      <c r="U22" s="125"/>
      <c r="V22" s="125"/>
      <c r="W22" s="125"/>
      <c r="X22" s="125"/>
    </row>
    <row r="23" spans="1:24" s="74" customFormat="1" ht="15.75" customHeight="1" x14ac:dyDescent="0.2">
      <c r="A23" s="69" t="s">
        <v>8</v>
      </c>
      <c r="B23" s="75">
        <v>1</v>
      </c>
      <c r="C23" s="1183" t="s">
        <v>216</v>
      </c>
      <c r="D23" s="1240"/>
      <c r="E23" s="1240"/>
      <c r="F23" s="1241"/>
      <c r="G23" s="76" t="s">
        <v>32</v>
      </c>
      <c r="H23" s="77" t="s">
        <v>55</v>
      </c>
      <c r="I23" s="155">
        <f t="shared" si="3"/>
        <v>39</v>
      </c>
      <c r="J23" s="155">
        <f t="shared" si="4"/>
        <v>28</v>
      </c>
      <c r="K23" s="162">
        <f t="shared" si="1"/>
        <v>0.78</v>
      </c>
      <c r="L23" s="167">
        <f t="shared" si="0"/>
        <v>38.22</v>
      </c>
      <c r="M23" s="164"/>
      <c r="N23" s="1183"/>
      <c r="O23" s="1184"/>
      <c r="P23" s="78"/>
      <c r="Q23" s="72"/>
      <c r="R23" s="182">
        <f t="shared" si="2"/>
        <v>-38.22</v>
      </c>
      <c r="S23" s="82"/>
      <c r="T23" s="125"/>
      <c r="U23" s="125"/>
      <c r="V23" s="125"/>
      <c r="W23" s="125"/>
      <c r="X23" s="125"/>
    </row>
    <row r="24" spans="1:24" s="74" customFormat="1" ht="15.75" customHeight="1" x14ac:dyDescent="0.2">
      <c r="A24" s="69" t="s">
        <v>8</v>
      </c>
      <c r="B24" s="75">
        <v>3</v>
      </c>
      <c r="C24" s="1183" t="s">
        <v>278</v>
      </c>
      <c r="D24" s="1240"/>
      <c r="E24" s="1240"/>
      <c r="F24" s="1241"/>
      <c r="G24" s="76" t="s">
        <v>31</v>
      </c>
      <c r="H24" s="77" t="s">
        <v>72</v>
      </c>
      <c r="I24" s="155">
        <f t="shared" si="3"/>
        <v>117</v>
      </c>
      <c r="J24" s="155">
        <f t="shared" si="4"/>
        <v>84</v>
      </c>
      <c r="K24" s="162">
        <f t="shared" si="1"/>
        <v>2.34</v>
      </c>
      <c r="L24" s="167">
        <f t="shared" si="0"/>
        <v>114.66</v>
      </c>
      <c r="M24" s="164"/>
      <c r="N24" s="1183"/>
      <c r="O24" s="1184"/>
      <c r="P24" s="78"/>
      <c r="Q24" s="72"/>
      <c r="R24" s="182">
        <f t="shared" si="2"/>
        <v>-114.66</v>
      </c>
      <c r="S24" s="73"/>
      <c r="T24" s="125"/>
      <c r="U24" s="125"/>
      <c r="V24" s="125"/>
      <c r="W24" s="125"/>
      <c r="X24" s="125"/>
    </row>
    <row r="25" spans="1:24" s="74" customFormat="1" ht="15.75" customHeight="1" x14ac:dyDescent="0.2">
      <c r="A25" s="69" t="s">
        <v>8</v>
      </c>
      <c r="B25" s="178">
        <v>2</v>
      </c>
      <c r="C25" s="1172" t="s">
        <v>217</v>
      </c>
      <c r="D25" s="1172"/>
      <c r="E25" s="1166" t="str">
        <f>IF(SUM(B25:B28)=7,"GC 76000 PA ($7 for every 10) breakdown per local board of supervisor resolution (BOS).","ERROR! GC 76000 PA total is not $7. Check Court's board resolution.")</f>
        <v>GC 76000 PA ($7 for every 10) breakdown per local board of supervisor resolution (BOS).</v>
      </c>
      <c r="F25" s="1167"/>
      <c r="G25" s="76" t="s">
        <v>32</v>
      </c>
      <c r="H25" s="77" t="s">
        <v>64</v>
      </c>
      <c r="I25" s="155">
        <f t="shared" si="3"/>
        <v>78</v>
      </c>
      <c r="J25" s="155">
        <f t="shared" si="4"/>
        <v>56</v>
      </c>
      <c r="K25" s="162">
        <f t="shared" si="1"/>
        <v>1.56</v>
      </c>
      <c r="L25" s="167">
        <f t="shared" si="0"/>
        <v>76.44</v>
      </c>
      <c r="M25" s="164"/>
      <c r="N25" s="1183"/>
      <c r="O25" s="1184"/>
      <c r="P25" s="78"/>
      <c r="Q25" s="72"/>
      <c r="R25" s="182">
        <f t="shared" si="2"/>
        <v>-76.44</v>
      </c>
      <c r="S25" s="82"/>
      <c r="T25" s="125"/>
      <c r="U25" s="125"/>
      <c r="V25" s="125"/>
      <c r="W25" s="125"/>
      <c r="X25" s="125"/>
    </row>
    <row r="26" spans="1:24" s="74" customFormat="1" ht="15.75" customHeight="1" x14ac:dyDescent="0.2">
      <c r="A26" s="69" t="s">
        <v>8</v>
      </c>
      <c r="B26" s="178">
        <v>3</v>
      </c>
      <c r="C26" s="1172" t="s">
        <v>218</v>
      </c>
      <c r="D26" s="1172"/>
      <c r="E26" s="1168"/>
      <c r="F26" s="1169"/>
      <c r="G26" s="76" t="s">
        <v>32</v>
      </c>
      <c r="H26" s="77" t="s">
        <v>35</v>
      </c>
      <c r="I26" s="155">
        <f t="shared" si="3"/>
        <v>117</v>
      </c>
      <c r="J26" s="155">
        <f t="shared" si="4"/>
        <v>84</v>
      </c>
      <c r="K26" s="162">
        <f t="shared" si="1"/>
        <v>2.34</v>
      </c>
      <c r="L26" s="167">
        <f t="shared" si="0"/>
        <v>114.66</v>
      </c>
      <c r="M26" s="164"/>
      <c r="N26" s="1183"/>
      <c r="O26" s="1184"/>
      <c r="P26" s="78"/>
      <c r="Q26" s="72"/>
      <c r="R26" s="182">
        <f t="shared" si="2"/>
        <v>-114.66</v>
      </c>
      <c r="S26" s="82"/>
      <c r="T26" s="125"/>
      <c r="U26" s="125"/>
      <c r="V26" s="125"/>
      <c r="W26" s="125"/>
      <c r="X26" s="125"/>
    </row>
    <row r="27" spans="1:24" s="74" customFormat="1" ht="15.75" customHeight="1" x14ac:dyDescent="0.2">
      <c r="A27" s="69" t="s">
        <v>8</v>
      </c>
      <c r="B27" s="178">
        <v>2</v>
      </c>
      <c r="C27" s="1172" t="s">
        <v>219</v>
      </c>
      <c r="D27" s="1172"/>
      <c r="E27" s="1168"/>
      <c r="F27" s="1169"/>
      <c r="G27" s="76" t="s">
        <v>32</v>
      </c>
      <c r="H27" s="77" t="s">
        <v>65</v>
      </c>
      <c r="I27" s="155">
        <f t="shared" si="3"/>
        <v>78</v>
      </c>
      <c r="J27" s="155">
        <f t="shared" si="4"/>
        <v>56</v>
      </c>
      <c r="K27" s="162">
        <f t="shared" si="1"/>
        <v>1.56</v>
      </c>
      <c r="L27" s="167">
        <f t="shared" si="0"/>
        <v>76.44</v>
      </c>
      <c r="M27" s="164"/>
      <c r="N27" s="1183"/>
      <c r="O27" s="1184"/>
      <c r="P27" s="78"/>
      <c r="Q27" s="72"/>
      <c r="R27" s="182">
        <f t="shared" si="2"/>
        <v>-76.44</v>
      </c>
      <c r="S27" s="82"/>
      <c r="T27" s="125"/>
      <c r="U27" s="125"/>
      <c r="V27" s="125"/>
      <c r="W27" s="125"/>
      <c r="X27" s="125"/>
    </row>
    <row r="28" spans="1:24" s="74" customFormat="1" ht="15.75" customHeight="1" x14ac:dyDescent="0.2">
      <c r="A28" s="69" t="s">
        <v>8</v>
      </c>
      <c r="B28" s="178"/>
      <c r="C28" s="1172" t="s">
        <v>254</v>
      </c>
      <c r="D28" s="1172"/>
      <c r="E28" s="1170"/>
      <c r="F28" s="1171"/>
      <c r="G28" s="76" t="s">
        <v>32</v>
      </c>
      <c r="H28" s="77"/>
      <c r="I28" s="155">
        <f t="shared" si="3"/>
        <v>0</v>
      </c>
      <c r="J28" s="155">
        <f t="shared" si="4"/>
        <v>0</v>
      </c>
      <c r="K28" s="162">
        <f t="shared" si="1"/>
        <v>0</v>
      </c>
      <c r="L28" s="167">
        <f t="shared" si="0"/>
        <v>0</v>
      </c>
      <c r="M28" s="164"/>
      <c r="N28" s="1183"/>
      <c r="O28" s="1184"/>
      <c r="P28" s="78"/>
      <c r="Q28" s="72"/>
      <c r="R28" s="182">
        <f t="shared" si="2"/>
        <v>0</v>
      </c>
      <c r="S28" s="82"/>
      <c r="T28" s="125"/>
      <c r="U28" s="125"/>
      <c r="V28" s="125"/>
      <c r="W28" s="125"/>
      <c r="X28" s="125"/>
    </row>
    <row r="29" spans="1:24" s="85" customFormat="1" ht="15.75" customHeight="1" x14ac:dyDescent="0.2">
      <c r="A29" s="69" t="s">
        <v>8</v>
      </c>
      <c r="B29" s="79">
        <v>2</v>
      </c>
      <c r="C29" s="1154" t="s">
        <v>286</v>
      </c>
      <c r="D29" s="1155"/>
      <c r="E29" s="1155"/>
      <c r="F29" s="1232"/>
      <c r="G29" s="83" t="s">
        <v>32</v>
      </c>
      <c r="H29" s="84" t="s">
        <v>36</v>
      </c>
      <c r="I29" s="155">
        <f t="shared" si="3"/>
        <v>78</v>
      </c>
      <c r="J29" s="155">
        <f t="shared" si="4"/>
        <v>56</v>
      </c>
      <c r="K29" s="162">
        <f t="shared" si="1"/>
        <v>1.56</v>
      </c>
      <c r="L29" s="167">
        <f t="shared" si="0"/>
        <v>76.44</v>
      </c>
      <c r="M29" s="164"/>
      <c r="N29" s="1183"/>
      <c r="O29" s="1184"/>
      <c r="P29" s="78"/>
      <c r="Q29" s="72"/>
      <c r="R29" s="182">
        <f>P29-L29</f>
        <v>-76.44</v>
      </c>
      <c r="S29" s="82"/>
      <c r="T29" s="127"/>
      <c r="U29" s="127"/>
      <c r="V29" s="127"/>
      <c r="W29" s="127"/>
      <c r="X29" s="127"/>
    </row>
    <row r="30" spans="1:24" s="74" customFormat="1" ht="15.75" customHeight="1" x14ac:dyDescent="0.2">
      <c r="A30" s="69" t="s">
        <v>8</v>
      </c>
      <c r="B30" s="179">
        <f>5-B25</f>
        <v>3</v>
      </c>
      <c r="C30" s="1154" t="s">
        <v>280</v>
      </c>
      <c r="D30" s="1155"/>
      <c r="E30" s="1155"/>
      <c r="F30" s="1088" t="s">
        <v>281</v>
      </c>
      <c r="G30" s="83" t="s">
        <v>31</v>
      </c>
      <c r="H30" s="84" t="s">
        <v>37</v>
      </c>
      <c r="I30" s="155">
        <f t="shared" si="3"/>
        <v>117</v>
      </c>
      <c r="J30" s="155">
        <f t="shared" si="4"/>
        <v>84</v>
      </c>
      <c r="K30" s="162">
        <f t="shared" si="1"/>
        <v>2.34</v>
      </c>
      <c r="L30" s="167">
        <f t="shared" si="0"/>
        <v>114.66</v>
      </c>
      <c r="M30" s="164"/>
      <c r="N30" s="1183"/>
      <c r="O30" s="1184"/>
      <c r="P30" s="78"/>
      <c r="Q30" s="72"/>
      <c r="R30" s="182">
        <f t="shared" si="2"/>
        <v>-114.66</v>
      </c>
      <c r="S30" s="82"/>
      <c r="T30" s="125"/>
      <c r="U30" s="125"/>
      <c r="V30" s="125"/>
      <c r="W30" s="125"/>
      <c r="X30" s="125"/>
    </row>
    <row r="31" spans="1:24" s="74" customFormat="1" ht="15.75" customHeight="1" x14ac:dyDescent="0.2">
      <c r="A31" s="69" t="s">
        <v>8</v>
      </c>
      <c r="B31" s="179">
        <f>B25</f>
        <v>2</v>
      </c>
      <c r="C31" s="1154" t="s">
        <v>279</v>
      </c>
      <c r="D31" s="1155"/>
      <c r="E31" s="1155"/>
      <c r="F31" s="1089"/>
      <c r="G31" s="83" t="s">
        <v>31</v>
      </c>
      <c r="H31" s="84" t="s">
        <v>197</v>
      </c>
      <c r="I31" s="155">
        <f t="shared" si="3"/>
        <v>78</v>
      </c>
      <c r="J31" s="155">
        <f t="shared" si="4"/>
        <v>56</v>
      </c>
      <c r="K31" s="162">
        <f t="shared" si="1"/>
        <v>1.56</v>
      </c>
      <c r="L31" s="167">
        <f t="shared" si="0"/>
        <v>76.44</v>
      </c>
      <c r="M31" s="164"/>
      <c r="N31" s="1183"/>
      <c r="O31" s="1184"/>
      <c r="P31" s="78"/>
      <c r="Q31" s="72"/>
      <c r="R31" s="182">
        <f t="shared" si="2"/>
        <v>-76.44</v>
      </c>
      <c r="S31" s="82"/>
      <c r="T31" s="125"/>
      <c r="U31" s="125"/>
      <c r="V31" s="125"/>
      <c r="W31" s="125"/>
      <c r="X31" s="125"/>
    </row>
    <row r="32" spans="1:24" s="85" customFormat="1" ht="15.75" customHeight="1" x14ac:dyDescent="0.2">
      <c r="A32" s="69"/>
      <c r="B32" s="75"/>
      <c r="C32" s="1154" t="s">
        <v>220</v>
      </c>
      <c r="D32" s="1155"/>
      <c r="E32" s="1155"/>
      <c r="F32" s="1232"/>
      <c r="G32" s="83" t="s">
        <v>31</v>
      </c>
      <c r="H32" s="84" t="s">
        <v>10</v>
      </c>
      <c r="I32" s="155">
        <f>$D$10*20%</f>
        <v>78</v>
      </c>
      <c r="J32" s="155">
        <f t="shared" si="4"/>
        <v>56</v>
      </c>
      <c r="K32" s="162"/>
      <c r="L32" s="167">
        <f t="shared" si="0"/>
        <v>78</v>
      </c>
      <c r="M32" s="164"/>
      <c r="N32" s="1183"/>
      <c r="O32" s="1184"/>
      <c r="P32" s="78"/>
      <c r="Q32" s="72"/>
      <c r="R32" s="182">
        <f t="shared" si="2"/>
        <v>-78</v>
      </c>
      <c r="S32" s="82"/>
      <c r="T32" s="127"/>
      <c r="U32" s="127"/>
      <c r="V32" s="127"/>
      <c r="W32" s="127"/>
      <c r="X32" s="127"/>
    </row>
    <row r="33" spans="1:24" s="90" customFormat="1" ht="15.75" customHeight="1" x14ac:dyDescent="0.2">
      <c r="A33" s="69"/>
      <c r="B33" s="86"/>
      <c r="C33" s="1229" t="s">
        <v>221</v>
      </c>
      <c r="D33" s="1230"/>
      <c r="E33" s="1230"/>
      <c r="F33" s="1231"/>
      <c r="G33" s="87"/>
      <c r="H33" s="88"/>
      <c r="I33" s="157">
        <f>SUM(I16:I32)</f>
        <v>1560</v>
      </c>
      <c r="J33" s="157">
        <f>J45-SUM(J34:J42)</f>
        <v>1120</v>
      </c>
      <c r="K33" s="162"/>
      <c r="L33" s="168">
        <f>SUM(L16:L32)</f>
        <v>1530.3600000000004</v>
      </c>
      <c r="M33" s="165"/>
      <c r="N33" s="1154"/>
      <c r="O33" s="1239"/>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154" t="s">
        <v>287</v>
      </c>
      <c r="D34" s="1155"/>
      <c r="E34" s="1155"/>
      <c r="F34" s="1232"/>
      <c r="G34" s="83" t="s">
        <v>31</v>
      </c>
      <c r="H34" s="91" t="s">
        <v>39</v>
      </c>
      <c r="I34" s="204">
        <v>30</v>
      </c>
      <c r="J34" s="155">
        <f>I34</f>
        <v>30</v>
      </c>
      <c r="K34" s="162">
        <f t="shared" si="1"/>
        <v>0</v>
      </c>
      <c r="L34" s="167">
        <f t="shared" ref="L34:L42" si="5">IF($K$15="BASE-UP", I34-K34, IF($K$15="TOP-DOWN", J34-K34,0))</f>
        <v>30</v>
      </c>
      <c r="M34" s="164"/>
      <c r="N34" s="1183"/>
      <c r="O34" s="1184"/>
      <c r="P34" s="78"/>
      <c r="Q34" s="72"/>
      <c r="R34" s="182">
        <f t="shared" si="2"/>
        <v>-30</v>
      </c>
      <c r="S34" s="73"/>
      <c r="T34" s="127"/>
      <c r="U34" s="127"/>
      <c r="V34" s="127"/>
      <c r="W34" s="127"/>
      <c r="X34" s="127"/>
    </row>
    <row r="35" spans="1:24" s="85" customFormat="1" ht="15.75" customHeight="1" x14ac:dyDescent="0.2">
      <c r="A35" s="69" t="s">
        <v>7</v>
      </c>
      <c r="B35" s="75"/>
      <c r="C35" s="1233" t="s">
        <v>259</v>
      </c>
      <c r="D35" s="1234"/>
      <c r="E35" s="1234"/>
      <c r="F35" s="1235"/>
      <c r="G35" s="153" t="s">
        <v>31</v>
      </c>
      <c r="H35" s="92" t="s">
        <v>197</v>
      </c>
      <c r="I35" s="204">
        <v>30</v>
      </c>
      <c r="J35" s="155">
        <f t="shared" ref="J35:J42" si="6">I35</f>
        <v>30</v>
      </c>
      <c r="K35" s="162">
        <f t="shared" si="1"/>
        <v>0</v>
      </c>
      <c r="L35" s="167">
        <f t="shared" si="5"/>
        <v>30</v>
      </c>
      <c r="M35" s="164"/>
      <c r="N35" s="1183"/>
      <c r="O35" s="1184"/>
      <c r="P35" s="78"/>
      <c r="Q35" s="72"/>
      <c r="R35" s="182">
        <f t="shared" si="2"/>
        <v>-30</v>
      </c>
      <c r="S35" s="73"/>
      <c r="T35" s="127"/>
      <c r="U35" s="127"/>
      <c r="V35" s="127"/>
      <c r="W35" s="127"/>
      <c r="X35" s="127"/>
    </row>
    <row r="36" spans="1:24" s="74" customFormat="1" ht="15.75" customHeight="1" x14ac:dyDescent="0.2">
      <c r="A36" s="69" t="s">
        <v>7</v>
      </c>
      <c r="B36" s="94"/>
      <c r="C36" s="1233" t="s">
        <v>232</v>
      </c>
      <c r="D36" s="1234"/>
      <c r="E36" s="1234"/>
      <c r="F36" s="1235"/>
      <c r="G36" s="153" t="s">
        <v>251</v>
      </c>
      <c r="H36" s="92" t="s">
        <v>24</v>
      </c>
      <c r="I36" s="204">
        <v>10</v>
      </c>
      <c r="J36" s="155">
        <f t="shared" si="6"/>
        <v>10</v>
      </c>
      <c r="K36" s="162">
        <f t="shared" si="1"/>
        <v>0</v>
      </c>
      <c r="L36" s="167">
        <f t="shared" si="5"/>
        <v>10</v>
      </c>
      <c r="M36" s="164"/>
      <c r="N36" s="1183"/>
      <c r="O36" s="1184"/>
      <c r="P36" s="78"/>
      <c r="Q36" s="72"/>
      <c r="R36" s="182">
        <f t="shared" si="2"/>
        <v>-10</v>
      </c>
      <c r="S36" s="77"/>
      <c r="T36" s="125"/>
      <c r="U36" s="125"/>
      <c r="V36" s="125"/>
      <c r="W36" s="125"/>
      <c r="X36" s="125"/>
    </row>
    <row r="37" spans="1:24" s="74" customFormat="1" ht="15.75" customHeight="1" x14ac:dyDescent="0.2">
      <c r="A37" s="69" t="s">
        <v>7</v>
      </c>
      <c r="B37" s="94"/>
      <c r="C37" s="1233" t="s">
        <v>222</v>
      </c>
      <c r="D37" s="1234"/>
      <c r="E37" s="1234"/>
      <c r="F37" s="1235"/>
      <c r="G37" s="153" t="s">
        <v>32</v>
      </c>
      <c r="H37" s="92" t="s">
        <v>15</v>
      </c>
      <c r="I37" s="204">
        <v>50</v>
      </c>
      <c r="J37" s="155">
        <f t="shared" si="6"/>
        <v>50</v>
      </c>
      <c r="K37" s="162">
        <f t="shared" si="1"/>
        <v>0</v>
      </c>
      <c r="L37" s="167">
        <f t="shared" si="5"/>
        <v>50</v>
      </c>
      <c r="M37" s="164"/>
      <c r="N37" s="1183"/>
      <c r="O37" s="1184"/>
      <c r="P37" s="78"/>
      <c r="Q37" s="72"/>
      <c r="R37" s="182">
        <f t="shared" si="2"/>
        <v>-50</v>
      </c>
      <c r="S37" s="77"/>
      <c r="T37" s="125"/>
      <c r="U37" s="125"/>
      <c r="V37" s="125"/>
      <c r="W37" s="125"/>
      <c r="X37" s="125"/>
    </row>
    <row r="38" spans="1:24" s="74" customFormat="1" ht="15.75" customHeight="1" x14ac:dyDescent="0.2">
      <c r="A38" s="69" t="s">
        <v>7</v>
      </c>
      <c r="B38" s="94"/>
      <c r="C38" s="1233" t="s">
        <v>284</v>
      </c>
      <c r="D38" s="1234"/>
      <c r="E38" s="1234"/>
      <c r="F38" s="1235"/>
      <c r="G38" s="153" t="s">
        <v>32</v>
      </c>
      <c r="H38" s="92" t="s">
        <v>27</v>
      </c>
      <c r="I38" s="204">
        <v>150</v>
      </c>
      <c r="J38" s="155">
        <f t="shared" si="6"/>
        <v>150</v>
      </c>
      <c r="K38" s="162">
        <f t="shared" si="1"/>
        <v>0</v>
      </c>
      <c r="L38" s="167">
        <f t="shared" si="5"/>
        <v>150</v>
      </c>
      <c r="M38" s="164"/>
      <c r="N38" s="1183"/>
      <c r="O38" s="1184"/>
      <c r="P38" s="78"/>
      <c r="Q38" s="72"/>
      <c r="R38" s="182">
        <f t="shared" si="2"/>
        <v>-150</v>
      </c>
      <c r="S38" s="77"/>
      <c r="T38" s="125"/>
      <c r="U38" s="125"/>
      <c r="V38" s="125"/>
      <c r="W38" s="125"/>
      <c r="X38" s="125"/>
    </row>
    <row r="39" spans="1:24" s="74" customFormat="1" ht="15.75" customHeight="1" x14ac:dyDescent="0.2">
      <c r="A39" s="69" t="s">
        <v>8</v>
      </c>
      <c r="B39" s="94"/>
      <c r="C39" s="1233" t="s">
        <v>223</v>
      </c>
      <c r="D39" s="1234"/>
      <c r="E39" s="1234"/>
      <c r="F39" s="1235"/>
      <c r="G39" s="153" t="s">
        <v>31</v>
      </c>
      <c r="H39" s="92" t="s">
        <v>13</v>
      </c>
      <c r="I39" s="204">
        <v>100</v>
      </c>
      <c r="J39" s="155">
        <f t="shared" si="6"/>
        <v>100</v>
      </c>
      <c r="K39" s="162">
        <f t="shared" si="1"/>
        <v>2</v>
      </c>
      <c r="L39" s="167">
        <f t="shared" si="5"/>
        <v>98</v>
      </c>
      <c r="M39" s="164"/>
      <c r="N39" s="1183"/>
      <c r="O39" s="1184"/>
      <c r="P39" s="78"/>
      <c r="Q39" s="72"/>
      <c r="R39" s="182">
        <f t="shared" si="2"/>
        <v>-98</v>
      </c>
      <c r="S39" s="77"/>
      <c r="T39" s="125"/>
      <c r="U39" s="125"/>
      <c r="V39" s="125"/>
      <c r="W39" s="125"/>
      <c r="X39" s="125"/>
    </row>
    <row r="40" spans="1:24" s="74" customFormat="1" ht="15.75" customHeight="1" x14ac:dyDescent="0.2">
      <c r="A40" s="69" t="s">
        <v>7</v>
      </c>
      <c r="B40" s="94"/>
      <c r="C40" s="1233" t="s">
        <v>262</v>
      </c>
      <c r="D40" s="1234"/>
      <c r="E40" s="1234"/>
      <c r="F40" s="1235"/>
      <c r="G40" s="153" t="s">
        <v>32</v>
      </c>
      <c r="H40" s="92" t="s">
        <v>27</v>
      </c>
      <c r="I40" s="204">
        <v>10</v>
      </c>
      <c r="J40" s="155">
        <f t="shared" si="6"/>
        <v>10</v>
      </c>
      <c r="K40" s="162">
        <f t="shared" si="1"/>
        <v>0</v>
      </c>
      <c r="L40" s="167">
        <f t="shared" si="5"/>
        <v>10</v>
      </c>
      <c r="M40" s="164"/>
      <c r="N40" s="1183"/>
      <c r="O40" s="1184"/>
      <c r="P40" s="78"/>
      <c r="Q40" s="72"/>
      <c r="R40" s="182">
        <f t="shared" si="2"/>
        <v>-10</v>
      </c>
      <c r="S40" s="77"/>
      <c r="T40" s="125"/>
      <c r="U40" s="125"/>
      <c r="V40" s="125"/>
      <c r="W40" s="125"/>
      <c r="X40" s="125"/>
    </row>
    <row r="41" spans="1:24" s="74" customFormat="1" ht="15.75" customHeight="1" x14ac:dyDescent="0.2">
      <c r="A41" s="69" t="s">
        <v>7</v>
      </c>
      <c r="B41" s="94"/>
      <c r="C41" s="1233" t="s">
        <v>285</v>
      </c>
      <c r="D41" s="1234"/>
      <c r="E41" s="1234"/>
      <c r="F41" s="1235"/>
      <c r="G41" s="153" t="s">
        <v>230</v>
      </c>
      <c r="H41" s="92" t="s">
        <v>82</v>
      </c>
      <c r="I41" s="204">
        <v>0</v>
      </c>
      <c r="J41" s="155">
        <f t="shared" si="6"/>
        <v>0</v>
      </c>
      <c r="K41" s="162">
        <f t="shared" si="1"/>
        <v>0</v>
      </c>
      <c r="L41" s="167">
        <f t="shared" si="5"/>
        <v>0</v>
      </c>
      <c r="M41" s="164"/>
      <c r="N41" s="1183"/>
      <c r="O41" s="1184"/>
      <c r="P41" s="78"/>
      <c r="Q41" s="72"/>
      <c r="R41" s="182">
        <f t="shared" si="2"/>
        <v>0</v>
      </c>
      <c r="S41" s="77"/>
      <c r="T41" s="125"/>
      <c r="U41" s="125"/>
      <c r="V41" s="125"/>
      <c r="W41" s="125"/>
      <c r="X41" s="125"/>
    </row>
    <row r="42" spans="1:24" s="74" customFormat="1" ht="15.75" customHeight="1" x14ac:dyDescent="0.2">
      <c r="A42" s="69" t="s">
        <v>7</v>
      </c>
      <c r="B42" s="94"/>
      <c r="C42" s="1233" t="s">
        <v>225</v>
      </c>
      <c r="D42" s="1234"/>
      <c r="E42" s="1234"/>
      <c r="F42" s="1235"/>
      <c r="G42" s="153" t="s">
        <v>31</v>
      </c>
      <c r="H42" s="92" t="s">
        <v>80</v>
      </c>
      <c r="I42" s="205"/>
      <c r="J42" s="155">
        <f t="shared" si="6"/>
        <v>0</v>
      </c>
      <c r="K42" s="162">
        <f t="shared" si="1"/>
        <v>0</v>
      </c>
      <c r="L42" s="167">
        <f t="shared" si="5"/>
        <v>0</v>
      </c>
      <c r="M42" s="164"/>
      <c r="N42" s="1183"/>
      <c r="O42" s="1184"/>
      <c r="P42" s="78"/>
      <c r="Q42" s="72"/>
      <c r="R42" s="182">
        <f t="shared" si="2"/>
        <v>0</v>
      </c>
      <c r="S42" s="77"/>
      <c r="T42" s="125"/>
      <c r="U42" s="125"/>
      <c r="V42" s="125"/>
      <c r="W42" s="125"/>
      <c r="X42" s="125"/>
    </row>
    <row r="43" spans="1:24" s="74" customFormat="1" ht="15.75" customHeight="1" x14ac:dyDescent="0.2">
      <c r="A43" s="93" t="s">
        <v>7</v>
      </c>
      <c r="B43" s="94"/>
      <c r="C43" s="1236" t="s">
        <v>224</v>
      </c>
      <c r="D43" s="1237"/>
      <c r="E43" s="1237"/>
      <c r="F43" s="1238"/>
      <c r="G43" s="95" t="s">
        <v>31</v>
      </c>
      <c r="H43" s="96" t="s">
        <v>41</v>
      </c>
      <c r="I43" s="97"/>
      <c r="J43" s="104"/>
      <c r="K43" s="163"/>
      <c r="L43" s="169">
        <f>K44</f>
        <v>31.639999999999997</v>
      </c>
      <c r="M43" s="164"/>
      <c r="N43" s="1183"/>
      <c r="O43" s="1184"/>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144" t="s">
        <v>61</v>
      </c>
      <c r="B46" s="1144"/>
      <c r="C46" s="1144"/>
      <c r="D46" s="210"/>
      <c r="E46" s="133"/>
      <c r="F46" s="133"/>
      <c r="J46" s="134"/>
      <c r="L46" s="135"/>
      <c r="M46" s="136"/>
      <c r="Q46" s="137"/>
      <c r="R46" s="138"/>
      <c r="S46" s="139"/>
    </row>
    <row r="47" spans="1:24" s="141" customFormat="1" ht="18" customHeight="1" x14ac:dyDescent="0.2">
      <c r="A47" s="140">
        <v>1</v>
      </c>
      <c r="B47" s="1145"/>
      <c r="C47" s="1145"/>
      <c r="D47" s="1145"/>
      <c r="E47" s="1145"/>
      <c r="F47" s="1145"/>
      <c r="G47" s="1145"/>
      <c r="H47" s="1145"/>
      <c r="I47" s="1145"/>
      <c r="J47" s="1145"/>
      <c r="K47" s="1145"/>
      <c r="L47" s="1145"/>
      <c r="M47" s="1145"/>
      <c r="N47" s="1145"/>
      <c r="O47" s="1145"/>
      <c r="P47" s="1145"/>
      <c r="Q47" s="1145"/>
      <c r="R47" s="1145"/>
      <c r="S47" s="1145"/>
    </row>
    <row r="48" spans="1:24" s="141" customFormat="1" ht="18" customHeight="1" x14ac:dyDescent="0.2">
      <c r="A48" s="140">
        <v>2</v>
      </c>
      <c r="B48" s="1145"/>
      <c r="C48" s="1145"/>
      <c r="D48" s="1145"/>
      <c r="E48" s="1145"/>
      <c r="F48" s="1145"/>
      <c r="G48" s="1145"/>
      <c r="H48" s="1145"/>
      <c r="I48" s="1145"/>
      <c r="J48" s="1145"/>
      <c r="K48" s="1145"/>
      <c r="L48" s="1145"/>
      <c r="M48" s="1145"/>
      <c r="N48" s="1145"/>
      <c r="O48" s="1145"/>
      <c r="P48" s="1145"/>
      <c r="Q48" s="1145"/>
      <c r="R48" s="1145"/>
      <c r="S48" s="1145"/>
    </row>
    <row r="49" spans="1:19" s="141" customFormat="1" ht="18" customHeight="1" x14ac:dyDescent="0.2">
      <c r="A49" s="140">
        <v>3</v>
      </c>
      <c r="B49" s="1145"/>
      <c r="C49" s="1145"/>
      <c r="D49" s="1145"/>
      <c r="E49" s="1145"/>
      <c r="F49" s="1145"/>
      <c r="G49" s="1145"/>
      <c r="H49" s="1145"/>
      <c r="I49" s="1145"/>
      <c r="J49" s="1145"/>
      <c r="K49" s="1145"/>
      <c r="L49" s="1145"/>
      <c r="M49" s="1145"/>
      <c r="N49" s="1145"/>
      <c r="O49" s="1145"/>
      <c r="P49" s="1145"/>
      <c r="Q49" s="1145"/>
      <c r="R49" s="1145"/>
      <c r="S49" s="1145"/>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56" priority="11" stopIfTrue="1" operator="equal">
      <formula>0</formula>
    </cfRule>
  </conditionalFormatting>
  <conditionalFormatting sqref="H16:H24 H29:H32">
    <cfRule type="expression" dxfId="155" priority="12" stopIfTrue="1">
      <formula>MOD(ROW(),2)=0</formula>
    </cfRule>
  </conditionalFormatting>
  <conditionalFormatting sqref="R50:R65536 R46 R12:R13">
    <cfRule type="cellIs" dxfId="154" priority="13" stopIfTrue="1" operator="notEqual">
      <formula>0</formula>
    </cfRule>
  </conditionalFormatting>
  <conditionalFormatting sqref="H25:H29">
    <cfRule type="expression" dxfId="153" priority="14" stopIfTrue="1">
      <formula>MOD(ROW(), 2)=0</formula>
    </cfRule>
  </conditionalFormatting>
  <conditionalFormatting sqref="I16:I18">
    <cfRule type="cellIs" dxfId="152" priority="15" stopIfTrue="1" operator="equal">
      <formula>0</formula>
    </cfRule>
  </conditionalFormatting>
  <conditionalFormatting sqref="E25">
    <cfRule type="cellIs" dxfId="151"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50"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87" t="s">
        <v>258</v>
      </c>
      <c r="B1" s="1188"/>
      <c r="C1" s="1188"/>
      <c r="D1" s="1188"/>
      <c r="E1" s="1188"/>
      <c r="F1" s="1188"/>
      <c r="G1" s="1188"/>
      <c r="H1" s="1188"/>
      <c r="I1" s="1188"/>
      <c r="J1" s="1188"/>
      <c r="K1" s="1188"/>
      <c r="L1" s="1188"/>
      <c r="M1" s="1185"/>
      <c r="N1" s="1185"/>
      <c r="O1" s="1185"/>
      <c r="P1" s="1185"/>
      <c r="Q1" s="1185"/>
      <c r="R1" s="1185"/>
      <c r="S1" s="1185"/>
      <c r="T1" s="1185"/>
      <c r="U1" s="1185"/>
      <c r="V1" s="1185"/>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205" t="s">
        <v>234</v>
      </c>
      <c r="B3" s="1206"/>
      <c r="C3" s="1206"/>
      <c r="D3" s="1206"/>
      <c r="E3" s="1206"/>
      <c r="F3" s="1206"/>
      <c r="G3" s="1206"/>
      <c r="H3" s="1206"/>
      <c r="I3" s="1206"/>
      <c r="J3" s="1206"/>
      <c r="K3" s="1206"/>
      <c r="L3" s="1206"/>
      <c r="M3" s="1206"/>
      <c r="N3" s="1206"/>
      <c r="O3" s="1206"/>
      <c r="P3" s="1207"/>
      <c r="Q3" s="237"/>
      <c r="R3" s="1342" t="s">
        <v>261</v>
      </c>
      <c r="S3" s="1343"/>
      <c r="T3" s="1343"/>
      <c r="U3" s="1343"/>
      <c r="V3" s="1343"/>
      <c r="W3" s="1343"/>
      <c r="X3" s="1344"/>
      <c r="Z3" s="174" t="s">
        <v>250</v>
      </c>
      <c r="AA3" s="132"/>
    </row>
    <row r="4" spans="1:29" s="57" customFormat="1" ht="15.75" x14ac:dyDescent="0.2">
      <c r="A4" s="1202" t="s">
        <v>231</v>
      </c>
      <c r="B4" s="1199"/>
      <c r="C4" s="1199"/>
      <c r="D4" s="1203">
        <f>M1</f>
        <v>0</v>
      </c>
      <c r="E4" s="1204"/>
      <c r="F4" s="1345" t="s">
        <v>563</v>
      </c>
      <c r="G4" s="1346"/>
      <c r="H4" s="208"/>
      <c r="I4" s="1347"/>
      <c r="J4" s="1347"/>
      <c r="K4" s="1347"/>
      <c r="L4" s="1347"/>
      <c r="M4" s="1347"/>
      <c r="N4" s="1348" t="s">
        <v>257</v>
      </c>
      <c r="O4" s="1348"/>
      <c r="P4" s="209">
        <v>0</v>
      </c>
      <c r="Q4" s="238"/>
      <c r="R4" s="1349" t="s">
        <v>236</v>
      </c>
      <c r="S4" s="1350"/>
      <c r="T4" s="1350"/>
      <c r="U4" s="1350"/>
      <c r="V4" s="1350"/>
      <c r="W4" s="1350"/>
      <c r="X4" s="1351"/>
      <c r="Z4" s="271" t="s">
        <v>308</v>
      </c>
      <c r="AA4" s="269" t="s">
        <v>309</v>
      </c>
      <c r="AB4" s="269" t="s">
        <v>310</v>
      </c>
    </row>
    <row r="5" spans="1:29" s="57" customFormat="1" ht="15.75" x14ac:dyDescent="0.2">
      <c r="A5" s="1200" t="s">
        <v>4</v>
      </c>
      <c r="B5" s="1201"/>
      <c r="C5" s="1201"/>
      <c r="D5" s="1221"/>
      <c r="E5" s="1193"/>
      <c r="F5" s="1228" t="s">
        <v>244</v>
      </c>
      <c r="G5" s="1196"/>
      <c r="H5" s="185"/>
      <c r="I5" s="1310"/>
      <c r="J5" s="1310"/>
      <c r="K5" s="1310"/>
      <c r="L5" s="1310"/>
      <c r="M5" s="1310"/>
      <c r="N5" s="1338" t="s">
        <v>22</v>
      </c>
      <c r="O5" s="1338"/>
      <c r="P5" s="58"/>
      <c r="Q5" s="238"/>
      <c r="R5" s="1339" t="s">
        <v>302</v>
      </c>
      <c r="S5" s="1340"/>
      <c r="T5" s="1340"/>
      <c r="U5" s="1340"/>
      <c r="V5" s="1340"/>
      <c r="W5" s="1340"/>
      <c r="X5" s="1341"/>
      <c r="Z5" s="172" t="s">
        <v>31</v>
      </c>
      <c r="AA5" s="176">
        <f>SUMIF($G$16:$G$48,"STATE",$L$16:$L$48)</f>
        <v>245.60000000000002</v>
      </c>
      <c r="AB5" s="176">
        <f>SUMIF($G$16:$G$48,"STATE",$T$16:$T$48)</f>
        <v>0</v>
      </c>
    </row>
    <row r="6" spans="1:29" s="57" customFormat="1" ht="16.5" thickBot="1" x14ac:dyDescent="0.25">
      <c r="A6" s="1200" t="s">
        <v>12</v>
      </c>
      <c r="B6" s="1201"/>
      <c r="C6" s="1201"/>
      <c r="D6" s="1221"/>
      <c r="E6" s="1333"/>
      <c r="F6" s="1228" t="s">
        <v>20</v>
      </c>
      <c r="G6" s="1196"/>
      <c r="H6" s="185"/>
      <c r="I6" s="1310" t="s">
        <v>11</v>
      </c>
      <c r="J6" s="1310"/>
      <c r="K6" s="1310"/>
      <c r="L6" s="1310"/>
      <c r="M6" s="1310"/>
      <c r="N6" s="1334" t="s">
        <v>233</v>
      </c>
      <c r="O6" s="1334"/>
      <c r="P6" s="212">
        <f>P4+P5*10</f>
        <v>0</v>
      </c>
      <c r="Q6" s="238"/>
      <c r="R6" s="1335" t="s">
        <v>573</v>
      </c>
      <c r="S6" s="1336"/>
      <c r="T6" s="1336"/>
      <c r="U6" s="1336"/>
      <c r="V6" s="1336"/>
      <c r="W6" s="1336"/>
      <c r="X6" s="1337"/>
      <c r="Z6" s="172" t="s">
        <v>32</v>
      </c>
      <c r="AA6" s="176">
        <f>SUMIF($G$16:$G$48,"COUNTY",$L$16:$L$48)</f>
        <v>29.400000000000006</v>
      </c>
      <c r="AB6" s="176">
        <f>SUMIF($G$16:$G$48,"COUNTY",$T$16:$T$48)</f>
        <v>0</v>
      </c>
    </row>
    <row r="7" spans="1:29" s="57" customFormat="1" ht="16.5" thickBot="1" x14ac:dyDescent="0.25">
      <c r="A7" s="1200" t="s">
        <v>5</v>
      </c>
      <c r="B7" s="1201"/>
      <c r="C7" s="1201"/>
      <c r="D7" s="1158"/>
      <c r="E7" s="1193"/>
      <c r="F7" s="1227" t="s">
        <v>21</v>
      </c>
      <c r="G7" s="1182"/>
      <c r="H7" s="241"/>
      <c r="I7" s="1321"/>
      <c r="J7" s="1321"/>
      <c r="K7" s="1321"/>
      <c r="L7" s="1321"/>
      <c r="M7" s="1322"/>
      <c r="N7" s="789"/>
      <c r="O7" s="242"/>
      <c r="P7" s="236"/>
      <c r="Q7" s="238"/>
      <c r="R7" s="1323" t="s">
        <v>235</v>
      </c>
      <c r="S7" s="1324"/>
      <c r="T7" s="1324"/>
      <c r="U7" s="1324"/>
      <c r="V7" s="1324"/>
      <c r="W7" s="1324"/>
      <c r="X7" s="1325"/>
      <c r="Z7" s="172" t="s">
        <v>52</v>
      </c>
      <c r="AA7" s="176">
        <f>SUMIF($G$16:$G$48,"CITY",$L$16:$L$48)</f>
        <v>0</v>
      </c>
      <c r="AB7" s="176">
        <f>SUMIF($G$16:$G$48,"CITY",$T$16:$T$48)</f>
        <v>0</v>
      </c>
    </row>
    <row r="8" spans="1:29" s="57" customFormat="1" ht="15.75" customHeight="1" x14ac:dyDescent="0.2">
      <c r="A8" s="1326" t="s">
        <v>54</v>
      </c>
      <c r="B8" s="1327"/>
      <c r="C8" s="1327"/>
      <c r="D8" s="1328">
        <v>1</v>
      </c>
      <c r="E8" s="1329"/>
      <c r="F8" s="1330" t="s">
        <v>564</v>
      </c>
      <c r="G8" s="1331"/>
      <c r="H8" s="791"/>
      <c r="I8" s="1332"/>
      <c r="J8" s="1332"/>
      <c r="K8" s="1332"/>
      <c r="L8" s="1332"/>
      <c r="M8" s="1332"/>
      <c r="N8" s="1199" t="s">
        <v>257</v>
      </c>
      <c r="O8" s="1199"/>
      <c r="P8" s="55">
        <v>0</v>
      </c>
      <c r="Q8" s="239"/>
      <c r="R8" s="1314" t="s">
        <v>303</v>
      </c>
      <c r="S8" s="1266"/>
      <c r="T8" s="1266"/>
      <c r="U8" s="1266"/>
      <c r="V8" s="1266"/>
      <c r="W8" s="1266"/>
      <c r="X8" s="1315"/>
      <c r="Z8" s="172" t="s">
        <v>230</v>
      </c>
      <c r="AA8" s="176">
        <f>SUMIF($G$16:$G$48,"COURT",$L$16:$L$48)</f>
        <v>0</v>
      </c>
      <c r="AB8" s="176">
        <f>SUMIF($G$16:$G$48,"COURT",$T$16:$T$48)</f>
        <v>0</v>
      </c>
    </row>
    <row r="9" spans="1:29" s="57" customFormat="1" ht="18" customHeight="1" thickBot="1" x14ac:dyDescent="0.25">
      <c r="A9" s="1318" t="s">
        <v>53</v>
      </c>
      <c r="B9" s="1319"/>
      <c r="C9" s="1319"/>
      <c r="D9" s="1189">
        <f>100%-D8</f>
        <v>0</v>
      </c>
      <c r="E9" s="1320"/>
      <c r="F9" s="1228" t="s">
        <v>244</v>
      </c>
      <c r="G9" s="1196"/>
      <c r="H9" s="790"/>
      <c r="I9" s="1310"/>
      <c r="J9" s="1310"/>
      <c r="K9" s="1310"/>
      <c r="L9" s="1310"/>
      <c r="M9" s="1310"/>
      <c r="N9" s="1196" t="s">
        <v>22</v>
      </c>
      <c r="O9" s="1196"/>
      <c r="P9" s="58"/>
      <c r="Q9" s="239"/>
      <c r="R9" s="1316"/>
      <c r="S9" s="1269"/>
      <c r="T9" s="1269"/>
      <c r="U9" s="1269"/>
      <c r="V9" s="1269"/>
      <c r="W9" s="1269"/>
      <c r="X9" s="1317"/>
      <c r="Z9" s="153" t="s">
        <v>446</v>
      </c>
      <c r="AA9" s="176">
        <f>SUMIF($G$16:$G$48,"CNTY or CTY",$L$16:$L$48)</f>
        <v>49</v>
      </c>
      <c r="AB9" s="176">
        <f>SUMIF($G$16:$G$48,"CNTY or CTY",$T$16:$T$48)</f>
        <v>0</v>
      </c>
    </row>
    <row r="10" spans="1:29" s="57" customFormat="1" ht="16.5" customHeight="1" thickBot="1" x14ac:dyDescent="0.25">
      <c r="A10" s="1152" t="s">
        <v>276</v>
      </c>
      <c r="B10" s="1153"/>
      <c r="C10" s="1153"/>
      <c r="D10" s="1148">
        <f>P6+P10</f>
        <v>0</v>
      </c>
      <c r="E10" s="1309"/>
      <c r="F10" s="1228" t="s">
        <v>20</v>
      </c>
      <c r="G10" s="1196"/>
      <c r="H10" s="790"/>
      <c r="I10" s="1310"/>
      <c r="J10" s="1310"/>
      <c r="K10" s="1310"/>
      <c r="L10" s="1310"/>
      <c r="M10" s="1310"/>
      <c r="N10" s="1196" t="s">
        <v>233</v>
      </c>
      <c r="O10" s="1196"/>
      <c r="P10" s="788">
        <f>P8+P9*10</f>
        <v>0</v>
      </c>
      <c r="Q10" s="240"/>
      <c r="R10" s="1311" t="s">
        <v>239</v>
      </c>
      <c r="S10" s="1312"/>
      <c r="T10" s="1312"/>
      <c r="U10" s="1312"/>
      <c r="V10" s="1312"/>
      <c r="W10" s="1312"/>
      <c r="X10" s="1313"/>
      <c r="Z10" s="666" t="s">
        <v>246</v>
      </c>
      <c r="AA10" s="148">
        <f>SUM(AA5:AA9)</f>
        <v>324</v>
      </c>
      <c r="AB10" s="148">
        <f>SUM(AB5:AB9)</f>
        <v>0</v>
      </c>
    </row>
    <row r="11" spans="1:29" s="57" customFormat="1" ht="16.5" customHeight="1" thickBot="1" x14ac:dyDescent="0.25">
      <c r="A11" s="1150" t="s">
        <v>277</v>
      </c>
      <c r="B11" s="1151"/>
      <c r="C11" s="1151"/>
      <c r="D11" s="1146">
        <f>ROUNDUP(D10/10,0)</f>
        <v>0</v>
      </c>
      <c r="E11" s="1293"/>
      <c r="F11" s="1294" t="s">
        <v>21</v>
      </c>
      <c r="G11" s="1174"/>
      <c r="H11" s="792"/>
      <c r="I11" s="1295"/>
      <c r="J11" s="1295"/>
      <c r="K11" s="1295"/>
      <c r="L11" s="1295"/>
      <c r="M11" s="1295"/>
      <c r="N11" s="1308" t="s">
        <v>565</v>
      </c>
      <c r="O11" s="1308"/>
      <c r="P11" s="793">
        <f>'Local Penalties'!B8</f>
        <v>7</v>
      </c>
      <c r="Q11" s="240"/>
      <c r="R11" s="1296" t="s">
        <v>430</v>
      </c>
      <c r="S11" s="1297"/>
      <c r="T11" s="1297"/>
      <c r="U11" s="1297"/>
      <c r="V11" s="1297"/>
      <c r="W11" s="1297"/>
      <c r="X11" s="1298"/>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99" t="s">
        <v>297</v>
      </c>
      <c r="J13" s="1300"/>
      <c r="K13" s="1300"/>
      <c r="L13" s="1301"/>
      <c r="M13" s="110"/>
      <c r="N13" s="1302" t="s">
        <v>229</v>
      </c>
      <c r="O13" s="1303"/>
      <c r="P13" s="1304"/>
      <c r="Q13" s="111"/>
      <c r="R13" s="1305" t="s">
        <v>295</v>
      </c>
      <c r="S13" s="1306"/>
      <c r="T13" s="1307"/>
      <c r="U13" s="226"/>
      <c r="V13" s="158"/>
      <c r="W13" s="158"/>
      <c r="X13" s="159"/>
      <c r="Y13" s="108"/>
      <c r="Z13" s="108"/>
      <c r="AA13" s="108"/>
      <c r="AB13" s="108"/>
      <c r="AC13" s="108"/>
    </row>
    <row r="14" spans="1:29" ht="44.25" customHeight="1" thickBot="1" x14ac:dyDescent="0.25">
      <c r="A14" s="672">
        <v>0.02</v>
      </c>
      <c r="B14" s="672" t="s">
        <v>58</v>
      </c>
      <c r="C14" s="1160" t="s">
        <v>226</v>
      </c>
      <c r="D14" s="1161"/>
      <c r="E14" s="1161"/>
      <c r="F14" s="1162"/>
      <c r="G14" s="674" t="s">
        <v>249</v>
      </c>
      <c r="H14" s="114" t="s">
        <v>0</v>
      </c>
      <c r="I14" s="670" t="s">
        <v>298</v>
      </c>
      <c r="J14" s="677" t="s">
        <v>252</v>
      </c>
      <c r="K14" s="1287" t="s">
        <v>6</v>
      </c>
      <c r="L14" s="676" t="s">
        <v>299</v>
      </c>
      <c r="M14" s="67"/>
      <c r="N14" s="1256" t="s">
        <v>260</v>
      </c>
      <c r="O14" s="1257"/>
      <c r="P14" s="677" t="s">
        <v>248</v>
      </c>
      <c r="Q14" s="121"/>
      <c r="R14" s="690" t="s">
        <v>428</v>
      </c>
      <c r="S14" s="1287" t="s">
        <v>6</v>
      </c>
      <c r="T14" s="676" t="s">
        <v>299</v>
      </c>
      <c r="U14" s="228"/>
      <c r="V14" s="669" t="s">
        <v>256</v>
      </c>
      <c r="W14" s="1289" t="s">
        <v>61</v>
      </c>
      <c r="X14" s="1291" t="s">
        <v>384</v>
      </c>
    </row>
    <row r="15" spans="1:29" ht="30.75" customHeight="1" thickBot="1" x14ac:dyDescent="0.25">
      <c r="A15" s="673"/>
      <c r="B15" s="673"/>
      <c r="C15" s="1163"/>
      <c r="D15" s="1164"/>
      <c r="E15" s="1164"/>
      <c r="F15" s="1165"/>
      <c r="G15" s="675"/>
      <c r="H15" s="675"/>
      <c r="I15" s="671"/>
      <c r="J15" s="161">
        <f>J35/I35</f>
        <v>417.5</v>
      </c>
      <c r="K15" s="1288"/>
      <c r="L15" s="244" t="s">
        <v>42</v>
      </c>
      <c r="M15" s="68"/>
      <c r="N15" s="1254"/>
      <c r="O15" s="1255"/>
      <c r="P15" s="245" t="s">
        <v>43</v>
      </c>
      <c r="Q15" s="121"/>
      <c r="R15" s="246" t="e">
        <f>(R35-R31)/(I35-I31)</f>
        <v>#DIV/0!</v>
      </c>
      <c r="S15" s="1288"/>
      <c r="T15" s="244" t="s">
        <v>44</v>
      </c>
      <c r="U15" s="228"/>
      <c r="V15" s="298" t="s">
        <v>300</v>
      </c>
      <c r="W15" s="1290"/>
      <c r="X15" s="1292"/>
    </row>
    <row r="16" spans="1:29" s="74" customFormat="1" ht="16.5" thickTop="1" x14ac:dyDescent="0.2">
      <c r="A16" s="69" t="s">
        <v>8</v>
      </c>
      <c r="B16" s="1178" t="s">
        <v>241</v>
      </c>
      <c r="C16" s="1285" t="s">
        <v>488</v>
      </c>
      <c r="D16" s="1226"/>
      <c r="E16" s="1226"/>
      <c r="F16" s="1226"/>
      <c r="G16" s="695" t="s">
        <v>32</v>
      </c>
      <c r="H16" s="71" t="s">
        <v>14</v>
      </c>
      <c r="I16" s="154">
        <v>50</v>
      </c>
      <c r="J16" s="160">
        <f>I16</f>
        <v>50</v>
      </c>
      <c r="K16" s="162">
        <f>IF(A16="Y", I16*2%,0)</f>
        <v>1</v>
      </c>
      <c r="L16" s="198">
        <f>I16-K16</f>
        <v>49</v>
      </c>
      <c r="M16" s="164"/>
      <c r="N16" s="1271"/>
      <c r="O16" s="1272"/>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178"/>
      <c r="C17" s="1286" t="s">
        <v>489</v>
      </c>
      <c r="D17" s="1172"/>
      <c r="E17" s="1172"/>
      <c r="F17" s="1172"/>
      <c r="G17" s="694" t="s">
        <v>32</v>
      </c>
      <c r="H17" s="77" t="s">
        <v>14</v>
      </c>
      <c r="I17" s="156">
        <v>50</v>
      </c>
      <c r="J17" s="155">
        <f>I17</f>
        <v>50</v>
      </c>
      <c r="K17" s="162">
        <f t="shared" ref="K17:K45" si="0">IF(A17="Y", I17*2%,0)</f>
        <v>1</v>
      </c>
      <c r="L17" s="167">
        <f t="shared" ref="L17:L46" si="1">I17-K17</f>
        <v>49</v>
      </c>
      <c r="M17" s="164"/>
      <c r="N17" s="1183"/>
      <c r="O17" s="1184"/>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178"/>
      <c r="C18" s="1286" t="s">
        <v>493</v>
      </c>
      <c r="D18" s="1172"/>
      <c r="E18" s="1172"/>
      <c r="F18" s="1172"/>
      <c r="G18" s="694" t="s">
        <v>31</v>
      </c>
      <c r="H18" s="77" t="s">
        <v>51</v>
      </c>
      <c r="I18" s="156">
        <v>20</v>
      </c>
      <c r="J18" s="155">
        <f>I18</f>
        <v>20</v>
      </c>
      <c r="K18" s="162">
        <f t="shared" si="0"/>
        <v>0.4</v>
      </c>
      <c r="L18" s="167">
        <f t="shared" si="1"/>
        <v>19.600000000000001</v>
      </c>
      <c r="M18" s="164"/>
      <c r="N18" s="1183"/>
      <c r="O18" s="1184"/>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178"/>
      <c r="C19" s="1172" t="s">
        <v>212</v>
      </c>
      <c r="D19" s="1172"/>
      <c r="E19" s="1172"/>
      <c r="F19" s="1172"/>
      <c r="G19" s="694" t="s">
        <v>32</v>
      </c>
      <c r="H19" s="77" t="s">
        <v>27</v>
      </c>
      <c r="I19" s="155">
        <f>(D10-SUM(I16:I18))*D8</f>
        <v>-120</v>
      </c>
      <c r="J19" s="155">
        <f>((SUM(I16:I20)*J15)-SUM(J16:J18))*D8</f>
        <v>-120</v>
      </c>
      <c r="K19" s="162">
        <f t="shared" si="0"/>
        <v>-2.4</v>
      </c>
      <c r="L19" s="167">
        <f t="shared" si="1"/>
        <v>-117.6</v>
      </c>
      <c r="M19" s="164"/>
      <c r="N19" s="1183"/>
      <c r="O19" s="1184"/>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179"/>
      <c r="C20" s="1172" t="s">
        <v>213</v>
      </c>
      <c r="D20" s="1172"/>
      <c r="E20" s="1172"/>
      <c r="F20" s="1172"/>
      <c r="G20" s="694" t="s">
        <v>52</v>
      </c>
      <c r="H20" s="77" t="s">
        <v>25</v>
      </c>
      <c r="I20" s="155">
        <f>(D10-SUM(I16:I18))*D9</f>
        <v>0</v>
      </c>
      <c r="J20" s="155">
        <f>((SUM(I16:I20)*J15)-SUM(J16:J18))*D9</f>
        <v>0</v>
      </c>
      <c r="K20" s="162">
        <f t="shared" si="0"/>
        <v>0</v>
      </c>
      <c r="L20" s="167">
        <f t="shared" si="1"/>
        <v>0</v>
      </c>
      <c r="M20" s="164"/>
      <c r="N20" s="1183"/>
      <c r="O20" s="1184"/>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172" t="s">
        <v>546</v>
      </c>
      <c r="D21" s="1172"/>
      <c r="E21" s="1172"/>
      <c r="F21" s="1172"/>
      <c r="G21" s="694" t="s">
        <v>31</v>
      </c>
      <c r="H21" s="77" t="s">
        <v>26</v>
      </c>
      <c r="I21" s="155">
        <f>$D$11*B21</f>
        <v>0</v>
      </c>
      <c r="J21" s="155">
        <f>$J$15*I21</f>
        <v>0</v>
      </c>
      <c r="K21" s="162">
        <f t="shared" si="0"/>
        <v>0</v>
      </c>
      <c r="L21" s="167">
        <f t="shared" si="1"/>
        <v>0</v>
      </c>
      <c r="M21" s="164"/>
      <c r="N21" s="1183"/>
      <c r="O21" s="1184"/>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172" t="s">
        <v>547</v>
      </c>
      <c r="D22" s="1172"/>
      <c r="E22" s="1172"/>
      <c r="F22" s="1172"/>
      <c r="G22" s="694" t="s">
        <v>32</v>
      </c>
      <c r="H22" s="77" t="s">
        <v>27</v>
      </c>
      <c r="I22" s="155">
        <f t="shared" ref="I22:I33" si="6">$D$11*B22</f>
        <v>0</v>
      </c>
      <c r="J22" s="155">
        <f t="shared" ref="J22:J34" si="7">$J$15*I22</f>
        <v>0</v>
      </c>
      <c r="K22" s="162">
        <f t="shared" si="0"/>
        <v>0</v>
      </c>
      <c r="L22" s="167">
        <f t="shared" si="1"/>
        <v>0</v>
      </c>
      <c r="M22" s="164"/>
      <c r="N22" s="1183"/>
      <c r="O22" s="1184"/>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183" t="s">
        <v>216</v>
      </c>
      <c r="D23" s="1240"/>
      <c r="E23" s="1240"/>
      <c r="F23" s="1241"/>
      <c r="G23" s="694" t="s">
        <v>32</v>
      </c>
      <c r="H23" s="77" t="s">
        <v>55</v>
      </c>
      <c r="I23" s="155">
        <f t="shared" si="6"/>
        <v>0</v>
      </c>
      <c r="J23" s="155">
        <f t="shared" si="7"/>
        <v>0</v>
      </c>
      <c r="K23" s="162">
        <f t="shared" si="0"/>
        <v>0</v>
      </c>
      <c r="L23" s="167">
        <f t="shared" si="1"/>
        <v>0</v>
      </c>
      <c r="M23" s="164"/>
      <c r="N23" s="1183"/>
      <c r="O23" s="1184"/>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183" t="s">
        <v>466</v>
      </c>
      <c r="D24" s="1240"/>
      <c r="E24" s="1240"/>
      <c r="F24" s="1241"/>
      <c r="G24" s="694" t="s">
        <v>31</v>
      </c>
      <c r="H24" s="77" t="s">
        <v>72</v>
      </c>
      <c r="I24" s="155">
        <f t="shared" si="6"/>
        <v>0</v>
      </c>
      <c r="J24" s="155">
        <f t="shared" si="7"/>
        <v>0</v>
      </c>
      <c r="K24" s="162">
        <f t="shared" si="0"/>
        <v>0</v>
      </c>
      <c r="L24" s="167">
        <f t="shared" si="1"/>
        <v>0</v>
      </c>
      <c r="M24" s="164"/>
      <c r="N24" s="1183"/>
      <c r="O24" s="1184"/>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172" t="s">
        <v>217</v>
      </c>
      <c r="D25" s="1172"/>
      <c r="E25" s="1279"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280"/>
      <c r="G25" s="694" t="s">
        <v>32</v>
      </c>
      <c r="H25" s="77" t="s">
        <v>64</v>
      </c>
      <c r="I25" s="155">
        <f t="shared" si="6"/>
        <v>0</v>
      </c>
      <c r="J25" s="155">
        <f t="shared" si="7"/>
        <v>0</v>
      </c>
      <c r="K25" s="162">
        <f t="shared" si="0"/>
        <v>0</v>
      </c>
      <c r="L25" s="167">
        <f t="shared" si="1"/>
        <v>0</v>
      </c>
      <c r="M25" s="164"/>
      <c r="N25" s="1183"/>
      <c r="O25" s="1184"/>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172" t="s">
        <v>218</v>
      </c>
      <c r="D26" s="1172"/>
      <c r="E26" s="1281"/>
      <c r="F26" s="1282"/>
      <c r="G26" s="694" t="s">
        <v>32</v>
      </c>
      <c r="H26" s="77" t="s">
        <v>35</v>
      </c>
      <c r="I26" s="155">
        <f t="shared" si="6"/>
        <v>0</v>
      </c>
      <c r="J26" s="155">
        <f t="shared" si="7"/>
        <v>0</v>
      </c>
      <c r="K26" s="162">
        <f t="shared" si="0"/>
        <v>0</v>
      </c>
      <c r="L26" s="167">
        <f t="shared" si="1"/>
        <v>0</v>
      </c>
      <c r="M26" s="164"/>
      <c r="N26" s="1183"/>
      <c r="O26" s="1184"/>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172" t="s">
        <v>219</v>
      </c>
      <c r="D27" s="1172"/>
      <c r="E27" s="1281"/>
      <c r="F27" s="1282"/>
      <c r="G27" s="694" t="s">
        <v>32</v>
      </c>
      <c r="H27" s="77" t="s">
        <v>65</v>
      </c>
      <c r="I27" s="155">
        <f t="shared" si="6"/>
        <v>0</v>
      </c>
      <c r="J27" s="155">
        <f t="shared" si="7"/>
        <v>0</v>
      </c>
      <c r="K27" s="162">
        <f t="shared" si="0"/>
        <v>0</v>
      </c>
      <c r="L27" s="167">
        <f t="shared" si="1"/>
        <v>0</v>
      </c>
      <c r="M27" s="164"/>
      <c r="N27" s="1183"/>
      <c r="O27" s="1184"/>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172" t="s">
        <v>401</v>
      </c>
      <c r="D28" s="1172"/>
      <c r="E28" s="1281"/>
      <c r="F28" s="1282"/>
      <c r="G28" s="694" t="s">
        <v>32</v>
      </c>
      <c r="H28" s="77" t="s">
        <v>65</v>
      </c>
      <c r="I28" s="155">
        <f>$D$11*B28</f>
        <v>0</v>
      </c>
      <c r="J28" s="155">
        <f>$J$15*I28</f>
        <v>0</v>
      </c>
      <c r="K28" s="162">
        <f>IF(A28="Y", I28*2%,0)</f>
        <v>0</v>
      </c>
      <c r="L28" s="167">
        <f>I28-K28</f>
        <v>0</v>
      </c>
      <c r="M28" s="164"/>
      <c r="N28" s="1183"/>
      <c r="O28" s="1184"/>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172" t="s">
        <v>254</v>
      </c>
      <c r="D29" s="1172"/>
      <c r="E29" s="1283"/>
      <c r="F29" s="1284"/>
      <c r="G29" s="694" t="s">
        <v>32</v>
      </c>
      <c r="H29" s="77"/>
      <c r="I29" s="155">
        <f t="shared" si="6"/>
        <v>0</v>
      </c>
      <c r="J29" s="155">
        <f t="shared" si="7"/>
        <v>0</v>
      </c>
      <c r="K29" s="162">
        <f t="shared" si="0"/>
        <v>0</v>
      </c>
      <c r="L29" s="167">
        <f t="shared" si="1"/>
        <v>0</v>
      </c>
      <c r="M29" s="164"/>
      <c r="N29" s="1183"/>
      <c r="O29" s="1184"/>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154" t="s">
        <v>286</v>
      </c>
      <c r="D30" s="1155"/>
      <c r="E30" s="1155"/>
      <c r="F30" s="1232"/>
      <c r="G30" s="702" t="s">
        <v>32</v>
      </c>
      <c r="H30" s="84" t="s">
        <v>36</v>
      </c>
      <c r="I30" s="155">
        <f t="shared" si="6"/>
        <v>0</v>
      </c>
      <c r="J30" s="155">
        <f t="shared" si="7"/>
        <v>0</v>
      </c>
      <c r="K30" s="162">
        <f t="shared" si="0"/>
        <v>0</v>
      </c>
      <c r="L30" s="167">
        <f t="shared" si="1"/>
        <v>0</v>
      </c>
      <c r="M30" s="164"/>
      <c r="N30" s="1183"/>
      <c r="O30" s="1184"/>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154" t="s">
        <v>385</v>
      </c>
      <c r="D31" s="1155"/>
      <c r="E31" s="1155"/>
      <c r="F31" s="1232"/>
      <c r="G31" s="702" t="s">
        <v>31</v>
      </c>
      <c r="H31" s="88"/>
      <c r="I31" s="204">
        <v>4</v>
      </c>
      <c r="J31" s="155">
        <f>$J$15*I31</f>
        <v>1670</v>
      </c>
      <c r="K31" s="162">
        <f>IF(A31="Y", I31*2%,0)</f>
        <v>0.08</v>
      </c>
      <c r="L31" s="167">
        <f>I31-K31</f>
        <v>3.92</v>
      </c>
      <c r="M31" s="165"/>
      <c r="N31" s="1183"/>
      <c r="O31" s="1184"/>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154" t="s">
        <v>555</v>
      </c>
      <c r="D32" s="1155"/>
      <c r="E32" s="1232"/>
      <c r="F32" s="1277" t="s">
        <v>281</v>
      </c>
      <c r="G32" s="702" t="s">
        <v>31</v>
      </c>
      <c r="H32" s="84" t="s">
        <v>37</v>
      </c>
      <c r="I32" s="155">
        <f t="shared" si="6"/>
        <v>0</v>
      </c>
      <c r="J32" s="155">
        <f t="shared" si="7"/>
        <v>0</v>
      </c>
      <c r="K32" s="162">
        <f t="shared" si="0"/>
        <v>0</v>
      </c>
      <c r="L32" s="167">
        <f t="shared" si="1"/>
        <v>0</v>
      </c>
      <c r="M32" s="164"/>
      <c r="N32" s="1183"/>
      <c r="O32" s="1184"/>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154" t="s">
        <v>556</v>
      </c>
      <c r="D33" s="1155"/>
      <c r="E33" s="1232"/>
      <c r="F33" s="1278"/>
      <c r="G33" s="707" t="s">
        <v>31</v>
      </c>
      <c r="H33" s="84" t="s">
        <v>197</v>
      </c>
      <c r="I33" s="155">
        <f t="shared" si="6"/>
        <v>0</v>
      </c>
      <c r="J33" s="155">
        <f t="shared" si="7"/>
        <v>0</v>
      </c>
      <c r="K33" s="162">
        <f t="shared" si="0"/>
        <v>0</v>
      </c>
      <c r="L33" s="167">
        <f t="shared" si="1"/>
        <v>0</v>
      </c>
      <c r="M33" s="164"/>
      <c r="N33" s="1183"/>
      <c r="O33" s="1184"/>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154" t="s">
        <v>220</v>
      </c>
      <c r="D34" s="1155"/>
      <c r="E34" s="1155"/>
      <c r="F34" s="1232"/>
      <c r="G34" s="702" t="s">
        <v>31</v>
      </c>
      <c r="H34" s="84" t="s">
        <v>10</v>
      </c>
      <c r="I34" s="155">
        <f>$D$10*20%</f>
        <v>0</v>
      </c>
      <c r="J34" s="155">
        <f t="shared" si="7"/>
        <v>0</v>
      </c>
      <c r="K34" s="162">
        <f t="shared" si="0"/>
        <v>0</v>
      </c>
      <c r="L34" s="167">
        <f t="shared" si="1"/>
        <v>0</v>
      </c>
      <c r="M34" s="164"/>
      <c r="N34" s="1183"/>
      <c r="O34" s="1184"/>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229" t="s">
        <v>221</v>
      </c>
      <c r="D35" s="1230"/>
      <c r="E35" s="1230"/>
      <c r="F35" s="1231"/>
      <c r="G35" s="703"/>
      <c r="H35" s="88"/>
      <c r="I35" s="157">
        <f>SUM(I16:I34)</f>
        <v>4</v>
      </c>
      <c r="J35" s="157">
        <f>J50-SUM(J36:J46)</f>
        <v>1670</v>
      </c>
      <c r="K35" s="162"/>
      <c r="L35" s="168">
        <f>SUM(L16:L34)</f>
        <v>3.92</v>
      </c>
      <c r="M35" s="165"/>
      <c r="N35" s="1154"/>
      <c r="O35" s="1239"/>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154" t="s">
        <v>419</v>
      </c>
      <c r="D36" s="1155"/>
      <c r="E36" s="1155"/>
      <c r="F36" s="1232"/>
      <c r="G36" s="702" t="s">
        <v>31</v>
      </c>
      <c r="H36" s="91" t="s">
        <v>39</v>
      </c>
      <c r="I36" s="204">
        <v>40</v>
      </c>
      <c r="J36" s="155">
        <f>I36</f>
        <v>40</v>
      </c>
      <c r="K36" s="162">
        <f t="shared" si="0"/>
        <v>0</v>
      </c>
      <c r="L36" s="167">
        <f t="shared" si="1"/>
        <v>40</v>
      </c>
      <c r="M36" s="164"/>
      <c r="N36" s="1183"/>
      <c r="O36" s="1184"/>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233" t="s">
        <v>259</v>
      </c>
      <c r="D37" s="1234"/>
      <c r="E37" s="1234"/>
      <c r="F37" s="1235"/>
      <c r="G37" s="704" t="s">
        <v>31</v>
      </c>
      <c r="H37" s="92" t="s">
        <v>197</v>
      </c>
      <c r="I37" s="204">
        <v>30</v>
      </c>
      <c r="J37" s="155">
        <f t="shared" ref="J37:J46" si="12">I37</f>
        <v>30</v>
      </c>
      <c r="K37" s="162">
        <f t="shared" si="0"/>
        <v>0</v>
      </c>
      <c r="L37" s="167">
        <f t="shared" si="1"/>
        <v>30</v>
      </c>
      <c r="M37" s="164"/>
      <c r="N37" s="1183"/>
      <c r="O37" s="1184"/>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233" t="s">
        <v>421</v>
      </c>
      <c r="D38" s="1234"/>
      <c r="E38" s="1234"/>
      <c r="F38" s="1235"/>
      <c r="G38" s="704" t="s">
        <v>230</v>
      </c>
      <c r="H38" s="92" t="s">
        <v>24</v>
      </c>
      <c r="I38" s="204"/>
      <c r="J38" s="155">
        <f t="shared" si="12"/>
        <v>0</v>
      </c>
      <c r="K38" s="162">
        <f t="shared" si="0"/>
        <v>0</v>
      </c>
      <c r="L38" s="167">
        <f t="shared" si="1"/>
        <v>0</v>
      </c>
      <c r="M38" s="164"/>
      <c r="N38" s="1183"/>
      <c r="O38" s="1184"/>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233" t="s">
        <v>284</v>
      </c>
      <c r="D39" s="1234"/>
      <c r="E39" s="1234"/>
      <c r="F39" s="1235"/>
      <c r="G39" s="704" t="s">
        <v>32</v>
      </c>
      <c r="H39" s="92" t="s">
        <v>27</v>
      </c>
      <c r="I39" s="204"/>
      <c r="J39" s="155">
        <f t="shared" si="12"/>
        <v>0</v>
      </c>
      <c r="K39" s="162">
        <f t="shared" si="0"/>
        <v>0</v>
      </c>
      <c r="L39" s="167">
        <f t="shared" si="1"/>
        <v>0</v>
      </c>
      <c r="M39" s="164"/>
      <c r="N39" s="1183"/>
      <c r="O39" s="1184"/>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233" t="s">
        <v>495</v>
      </c>
      <c r="D40" s="1234"/>
      <c r="E40" s="1234"/>
      <c r="F40" s="1235"/>
      <c r="G40" s="704" t="s">
        <v>446</v>
      </c>
      <c r="H40" s="92"/>
      <c r="I40" s="204">
        <v>50</v>
      </c>
      <c r="J40" s="155"/>
      <c r="K40" s="162">
        <f t="shared" si="0"/>
        <v>1</v>
      </c>
      <c r="L40" s="167">
        <f t="shared" si="1"/>
        <v>49</v>
      </c>
      <c r="M40" s="164"/>
      <c r="N40" s="1183"/>
      <c r="O40" s="1184"/>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233" t="s">
        <v>494</v>
      </c>
      <c r="D41" s="1234"/>
      <c r="E41" s="1234"/>
      <c r="F41" s="1235"/>
      <c r="G41" s="704" t="s">
        <v>32</v>
      </c>
      <c r="H41" s="92" t="s">
        <v>15</v>
      </c>
      <c r="I41" s="204">
        <v>50</v>
      </c>
      <c r="J41" s="155">
        <f>I41</f>
        <v>50</v>
      </c>
      <c r="K41" s="162">
        <f>IF(A41="Y", I41*2%,0)</f>
        <v>1</v>
      </c>
      <c r="L41" s="167">
        <f>I41-K41</f>
        <v>49</v>
      </c>
      <c r="M41" s="164"/>
      <c r="N41" s="1183"/>
      <c r="O41" s="1184"/>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233" t="s">
        <v>445</v>
      </c>
      <c r="D42" s="1234"/>
      <c r="E42" s="1234"/>
      <c r="F42" s="1235"/>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233" t="s">
        <v>559</v>
      </c>
      <c r="D43" s="1234"/>
      <c r="E43" s="1234"/>
      <c r="F43" s="1235"/>
      <c r="G43" s="704" t="s">
        <v>31</v>
      </c>
      <c r="H43" s="92" t="s">
        <v>13</v>
      </c>
      <c r="I43" s="204">
        <v>150</v>
      </c>
      <c r="J43" s="155">
        <f t="shared" si="12"/>
        <v>150</v>
      </c>
      <c r="K43" s="162">
        <f t="shared" si="0"/>
        <v>3</v>
      </c>
      <c r="L43" s="167">
        <f t="shared" si="1"/>
        <v>147</v>
      </c>
      <c r="M43" s="164"/>
      <c r="N43" s="1183"/>
      <c r="O43" s="1184"/>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233" t="s">
        <v>454</v>
      </c>
      <c r="D44" s="1234"/>
      <c r="E44" s="1234"/>
      <c r="F44" s="1235"/>
      <c r="G44" s="704" t="s">
        <v>32</v>
      </c>
      <c r="H44" s="92" t="s">
        <v>27</v>
      </c>
      <c r="I44" s="204"/>
      <c r="J44" s="155">
        <f t="shared" si="12"/>
        <v>0</v>
      </c>
      <c r="K44" s="162">
        <f t="shared" si="0"/>
        <v>0</v>
      </c>
      <c r="L44" s="167">
        <f t="shared" si="1"/>
        <v>0</v>
      </c>
      <c r="M44" s="164"/>
      <c r="N44" s="1183"/>
      <c r="O44" s="1184"/>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154" t="s">
        <v>517</v>
      </c>
      <c r="D45" s="1155"/>
      <c r="E45" s="1155"/>
      <c r="F45" s="1232"/>
      <c r="G45" s="704" t="s">
        <v>230</v>
      </c>
      <c r="H45" s="92" t="s">
        <v>82</v>
      </c>
      <c r="I45" s="204"/>
      <c r="J45" s="155">
        <f t="shared" si="12"/>
        <v>0</v>
      </c>
      <c r="K45" s="162">
        <f t="shared" si="0"/>
        <v>0</v>
      </c>
      <c r="L45" s="167">
        <f t="shared" si="1"/>
        <v>0</v>
      </c>
      <c r="M45" s="164"/>
      <c r="N45" s="1183"/>
      <c r="O45" s="1184"/>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233" t="s">
        <v>376</v>
      </c>
      <c r="D46" s="1234"/>
      <c r="E46" s="1234"/>
      <c r="F46" s="1235"/>
      <c r="G46" s="704" t="s">
        <v>32</v>
      </c>
      <c r="H46" s="92" t="s">
        <v>80</v>
      </c>
      <c r="I46" s="205"/>
      <c r="J46" s="155">
        <f t="shared" si="12"/>
        <v>0</v>
      </c>
      <c r="K46" s="162">
        <f>IF(A47="Y", I46*2%,0)</f>
        <v>0</v>
      </c>
      <c r="L46" s="167">
        <f t="shared" si="1"/>
        <v>0</v>
      </c>
      <c r="M46" s="164"/>
      <c r="N46" s="1183"/>
      <c r="O46" s="1184"/>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233" t="s">
        <v>225</v>
      </c>
      <c r="D47" s="1234"/>
      <c r="E47" s="1234"/>
      <c r="F47" s="1235"/>
      <c r="G47" s="704" t="s">
        <v>31</v>
      </c>
      <c r="H47" s="92"/>
      <c r="I47" s="205"/>
      <c r="J47" s="155"/>
      <c r="K47" s="162">
        <f>IF(A48="Y", I47*2%,0)</f>
        <v>0</v>
      </c>
      <c r="L47" s="167">
        <f t="shared" ref="L47" si="16">I47-K47</f>
        <v>0</v>
      </c>
      <c r="M47" s="164"/>
      <c r="N47" s="1183"/>
      <c r="O47" s="1184"/>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183" t="s">
        <v>487</v>
      </c>
      <c r="D48" s="1237"/>
      <c r="E48" s="1237"/>
      <c r="F48" s="1238"/>
      <c r="G48" s="705" t="s">
        <v>31</v>
      </c>
      <c r="H48" s="96" t="s">
        <v>41</v>
      </c>
      <c r="I48" s="97"/>
      <c r="J48" s="104"/>
      <c r="K48" s="163"/>
      <c r="L48" s="169">
        <f>K49</f>
        <v>5.08</v>
      </c>
      <c r="M48" s="164"/>
      <c r="N48" s="1183"/>
      <c r="O48" s="1184"/>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276" t="s">
        <v>61</v>
      </c>
      <c r="B51" s="1276"/>
      <c r="C51" s="1276"/>
      <c r="D51" s="210"/>
      <c r="E51" s="133"/>
      <c r="F51" s="133"/>
      <c r="J51" s="134"/>
      <c r="L51" s="135"/>
      <c r="M51" s="136"/>
      <c r="Q51" s="137"/>
      <c r="R51" s="137"/>
      <c r="S51" s="137"/>
      <c r="T51" s="137"/>
      <c r="U51" s="137"/>
      <c r="V51" s="138"/>
      <c r="W51" s="138"/>
      <c r="X51" s="139"/>
    </row>
    <row r="52" spans="1:24" s="141" customFormat="1" ht="18" customHeight="1" x14ac:dyDescent="0.2">
      <c r="A52" s="769">
        <v>1</v>
      </c>
      <c r="B52" s="1273"/>
      <c r="C52" s="1274"/>
      <c r="D52" s="1274"/>
      <c r="E52" s="1274"/>
      <c r="F52" s="1274"/>
      <c r="G52" s="1274"/>
      <c r="H52" s="1274"/>
      <c r="I52" s="1274"/>
      <c r="J52" s="1274"/>
      <c r="K52" s="1274"/>
      <c r="L52" s="1274"/>
      <c r="M52" s="1274"/>
      <c r="N52" s="1274"/>
      <c r="O52" s="1274"/>
      <c r="P52" s="1274"/>
      <c r="Q52" s="1274"/>
      <c r="R52" s="1274"/>
      <c r="S52" s="1274"/>
      <c r="T52" s="1274"/>
      <c r="U52" s="1274"/>
      <c r="V52" s="1274"/>
      <c r="W52" s="1274"/>
      <c r="X52" s="1275"/>
    </row>
    <row r="53" spans="1:24" s="141" customFormat="1" ht="18" customHeight="1" x14ac:dyDescent="0.2">
      <c r="A53" s="769">
        <v>2</v>
      </c>
      <c r="B53" s="1273"/>
      <c r="C53" s="1274"/>
      <c r="D53" s="1274"/>
      <c r="E53" s="1274"/>
      <c r="F53" s="1274"/>
      <c r="G53" s="1274"/>
      <c r="H53" s="1274"/>
      <c r="I53" s="1274"/>
      <c r="J53" s="1274"/>
      <c r="K53" s="1274"/>
      <c r="L53" s="1274"/>
      <c r="M53" s="1274"/>
      <c r="N53" s="1274"/>
      <c r="O53" s="1274"/>
      <c r="P53" s="1274"/>
      <c r="Q53" s="1274"/>
      <c r="R53" s="1274"/>
      <c r="S53" s="1274"/>
      <c r="T53" s="1274"/>
      <c r="U53" s="1274"/>
      <c r="V53" s="1274"/>
      <c r="W53" s="1274"/>
      <c r="X53" s="1275"/>
    </row>
    <row r="54" spans="1:24" s="141" customFormat="1" ht="18" customHeight="1" x14ac:dyDescent="0.2">
      <c r="A54" s="769">
        <v>3</v>
      </c>
      <c r="B54" s="1273"/>
      <c r="C54" s="1274"/>
      <c r="D54" s="1274"/>
      <c r="E54" s="1274"/>
      <c r="F54" s="1274"/>
      <c r="G54" s="1274"/>
      <c r="H54" s="1274"/>
      <c r="I54" s="1274"/>
      <c r="J54" s="1274"/>
      <c r="K54" s="1274"/>
      <c r="L54" s="1274"/>
      <c r="M54" s="1274"/>
      <c r="N54" s="1274"/>
      <c r="O54" s="1274"/>
      <c r="P54" s="1274"/>
      <c r="Q54" s="1274"/>
      <c r="R54" s="1274"/>
      <c r="S54" s="1274"/>
      <c r="T54" s="1274"/>
      <c r="U54" s="1274"/>
      <c r="V54" s="1274"/>
      <c r="W54" s="1274"/>
      <c r="X54" s="1275"/>
    </row>
    <row r="55" spans="1:24" s="54" customFormat="1" ht="18" customHeight="1" x14ac:dyDescent="0.2">
      <c r="A55" s="769">
        <v>4</v>
      </c>
      <c r="B55" s="1273"/>
      <c r="C55" s="1274"/>
      <c r="D55" s="1274"/>
      <c r="E55" s="1274"/>
      <c r="F55" s="1274"/>
      <c r="G55" s="1274"/>
      <c r="H55" s="1274"/>
      <c r="I55" s="1274"/>
      <c r="J55" s="1274"/>
      <c r="K55" s="1274"/>
      <c r="L55" s="1274"/>
      <c r="M55" s="1274"/>
      <c r="N55" s="1274"/>
      <c r="O55" s="1274"/>
      <c r="P55" s="1274"/>
      <c r="Q55" s="1274"/>
      <c r="R55" s="1274"/>
      <c r="S55" s="1274"/>
      <c r="T55" s="1274"/>
      <c r="U55" s="1274"/>
      <c r="V55" s="1274"/>
      <c r="W55" s="1274"/>
      <c r="X55" s="1275"/>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50" priority="14" stopIfTrue="1" operator="equal">
      <formula>0</formula>
    </cfRule>
  </conditionalFormatting>
  <conditionalFormatting sqref="H16:H24 H30 H32:H34">
    <cfRule type="expression" dxfId="149" priority="13" stopIfTrue="1">
      <formula>MOD(ROW(),2)=0</formula>
    </cfRule>
  </conditionalFormatting>
  <conditionalFormatting sqref="V51:W51 V56:W65535 V12:W13">
    <cfRule type="cellIs" dxfId="148" priority="12" stopIfTrue="1" operator="notEqual">
      <formula>0</formula>
    </cfRule>
  </conditionalFormatting>
  <conditionalFormatting sqref="H25:H30">
    <cfRule type="expression" dxfId="147" priority="11" stopIfTrue="1">
      <formula>MOD(ROW(), 2)=0</formula>
    </cfRule>
  </conditionalFormatting>
  <conditionalFormatting sqref="I16:I18">
    <cfRule type="cellIs" dxfId="146" priority="10" stopIfTrue="1" operator="equal">
      <formula>0</formula>
    </cfRule>
  </conditionalFormatting>
  <conditionalFormatting sqref="E25">
    <cfRule type="cellIs" dxfId="145" priority="9" operator="notEqual">
      <formula>"GC 76000 PA ($" &amp;P11&amp;" for every 10) breakdown = local Board of Supervisor resolution (BOS)."</formula>
    </cfRule>
  </conditionalFormatting>
  <conditionalFormatting sqref="N16:P48">
    <cfRule type="expression" dxfId="144" priority="8">
      <formula>MOD(ROW(),2)=0</formula>
    </cfRule>
  </conditionalFormatting>
  <conditionalFormatting sqref="I32:I35 I19:I30 K16:L48">
    <cfRule type="cellIs" dxfId="143" priority="7" operator="equal">
      <formula>0</formula>
    </cfRule>
  </conditionalFormatting>
  <conditionalFormatting sqref="W16:W48">
    <cfRule type="cellIs" dxfId="142"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87" t="s">
        <v>105</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205" t="s">
        <v>234</v>
      </c>
      <c r="B3" s="1206"/>
      <c r="C3" s="1206"/>
      <c r="D3" s="1206"/>
      <c r="E3" s="1206"/>
      <c r="F3" s="1206"/>
      <c r="G3" s="1206"/>
      <c r="H3" s="1206"/>
      <c r="I3" s="1206"/>
      <c r="J3" s="1206"/>
      <c r="K3" s="1206"/>
      <c r="L3" s="1206"/>
      <c r="M3" s="1206"/>
      <c r="N3" s="1206"/>
      <c r="O3" s="1207"/>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54" t="s">
        <v>28</v>
      </c>
      <c r="G4" s="1197"/>
      <c r="H4" s="208"/>
      <c r="I4" s="1347"/>
      <c r="J4" s="1347"/>
      <c r="K4" s="1347"/>
      <c r="L4" s="1347"/>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228" t="s">
        <v>244</v>
      </c>
      <c r="G5" s="1196"/>
      <c r="H5" s="185"/>
      <c r="I5" s="1310"/>
      <c r="J5" s="1310"/>
      <c r="K5" s="1310"/>
      <c r="L5" s="1310"/>
      <c r="M5" s="1338" t="s">
        <v>22</v>
      </c>
      <c r="N5" s="1338"/>
      <c r="O5" s="58"/>
      <c r="P5" s="238"/>
      <c r="Q5" s="1339" t="s">
        <v>302</v>
      </c>
      <c r="R5" s="1340"/>
      <c r="S5" s="1340"/>
      <c r="T5" s="1340"/>
      <c r="U5" s="1340"/>
      <c r="V5" s="1340"/>
      <c r="W5" s="1341"/>
      <c r="Y5" s="172" t="s">
        <v>31</v>
      </c>
      <c r="Z5" s="176">
        <f>SUMIF($G$16:$G$43,"STATE",$K$16:$K$43)</f>
        <v>193.99999999999997</v>
      </c>
      <c r="AA5" s="176">
        <f>SUMIF($G$16:$G$43,"STATE",$S$16:$S$43)</f>
        <v>0</v>
      </c>
    </row>
    <row r="6" spans="1:28" s="57" customFormat="1" ht="16.5" thickBot="1" x14ac:dyDescent="0.25">
      <c r="A6" s="1200" t="s">
        <v>12</v>
      </c>
      <c r="B6" s="1201"/>
      <c r="C6" s="1201"/>
      <c r="D6" s="1221"/>
      <c r="E6" s="1333"/>
      <c r="F6" s="1228" t="s">
        <v>20</v>
      </c>
      <c r="G6" s="1196"/>
      <c r="H6" s="185"/>
      <c r="I6" s="1310" t="s">
        <v>11</v>
      </c>
      <c r="J6" s="1310"/>
      <c r="K6" s="1310"/>
      <c r="L6" s="1310"/>
      <c r="M6" s="1334" t="s">
        <v>233</v>
      </c>
      <c r="N6" s="1334"/>
      <c r="O6" s="212">
        <f>O4+O5*10</f>
        <v>0</v>
      </c>
      <c r="P6" s="238"/>
      <c r="Q6" s="1335" t="s">
        <v>573</v>
      </c>
      <c r="R6" s="1336"/>
      <c r="S6" s="1336"/>
      <c r="T6" s="1336"/>
      <c r="U6" s="1336"/>
      <c r="V6" s="1336"/>
      <c r="W6" s="1337"/>
      <c r="Y6" s="172" t="s">
        <v>32</v>
      </c>
      <c r="Z6" s="176">
        <f>SUMIF($G$16:$G$43,"COUNTY",$K$16:$K$43)</f>
        <v>0</v>
      </c>
      <c r="AA6" s="176">
        <f>SUMIF($G$16:$G$43,"COUNTY",$S$16:$S$43)</f>
        <v>0</v>
      </c>
    </row>
    <row r="7" spans="1:28" s="57" customFormat="1" ht="16.5" thickBot="1" x14ac:dyDescent="0.25">
      <c r="A7" s="1200" t="s">
        <v>5</v>
      </c>
      <c r="B7" s="1201"/>
      <c r="C7" s="1201"/>
      <c r="D7" s="1158"/>
      <c r="E7" s="1193"/>
      <c r="F7" s="1227" t="s">
        <v>21</v>
      </c>
      <c r="G7" s="1182"/>
      <c r="H7" s="241"/>
      <c r="I7" s="1321"/>
      <c r="J7" s="1321"/>
      <c r="K7" s="1321"/>
      <c r="L7" s="1322"/>
      <c r="M7" s="789"/>
      <c r="N7" s="242"/>
      <c r="O7" s="236"/>
      <c r="P7" s="238"/>
      <c r="Q7" s="1323" t="s">
        <v>235</v>
      </c>
      <c r="R7" s="1324"/>
      <c r="S7" s="1324"/>
      <c r="T7" s="1324"/>
      <c r="U7" s="1324"/>
      <c r="V7" s="1324"/>
      <c r="W7" s="1325"/>
      <c r="Y7" s="172" t="s">
        <v>52</v>
      </c>
      <c r="Z7" s="176">
        <f>SUMIF($G$16:$G$43,"CITY",$K$16:$K$43)</f>
        <v>0</v>
      </c>
      <c r="AA7" s="176">
        <f>SUMIF($G$16:$G$43,"CITY",$S$16:$S$43)</f>
        <v>0</v>
      </c>
    </row>
    <row r="8" spans="1:28" s="57" customFormat="1" ht="15.75" customHeight="1" x14ac:dyDescent="0.2">
      <c r="A8" s="1326" t="s">
        <v>54</v>
      </c>
      <c r="B8" s="1327"/>
      <c r="C8" s="1327"/>
      <c r="D8" s="1328">
        <v>1</v>
      </c>
      <c r="E8" s="1329"/>
      <c r="F8" s="1202" t="s">
        <v>253</v>
      </c>
      <c r="G8" s="1199"/>
      <c r="H8" s="791"/>
      <c r="I8" s="1332"/>
      <c r="J8" s="1332"/>
      <c r="K8" s="1332"/>
      <c r="L8" s="1332"/>
      <c r="M8" s="1199" t="s">
        <v>257</v>
      </c>
      <c r="N8" s="1199"/>
      <c r="O8" s="55">
        <v>0</v>
      </c>
      <c r="P8" s="239"/>
      <c r="Q8" s="1314" t="s">
        <v>303</v>
      </c>
      <c r="R8" s="1266"/>
      <c r="S8" s="1266"/>
      <c r="T8" s="1266"/>
      <c r="U8" s="1266"/>
      <c r="V8" s="1266"/>
      <c r="W8" s="1315"/>
      <c r="Y8" s="172" t="s">
        <v>230</v>
      </c>
      <c r="Z8" s="176">
        <f>SUMIF($G$16:$G$43,"COURT",$K$16:$K$43)</f>
        <v>0</v>
      </c>
      <c r="AA8" s="176">
        <f>SUMIF($G$16:$G$43,"COURT",$S$16:$S$43)</f>
        <v>0</v>
      </c>
    </row>
    <row r="9" spans="1:28" s="57" customFormat="1" ht="18" customHeight="1" thickBot="1" x14ac:dyDescent="0.25">
      <c r="A9" s="1318" t="s">
        <v>53</v>
      </c>
      <c r="B9" s="1319"/>
      <c r="C9" s="1319"/>
      <c r="D9" s="1189">
        <f>100%-D8</f>
        <v>0</v>
      </c>
      <c r="E9" s="1320"/>
      <c r="F9" s="1228" t="s">
        <v>244</v>
      </c>
      <c r="G9" s="1196"/>
      <c r="H9" s="790"/>
      <c r="I9" s="1310"/>
      <c r="J9" s="1310"/>
      <c r="K9" s="1310"/>
      <c r="L9" s="1310"/>
      <c r="M9" s="1196" t="s">
        <v>22</v>
      </c>
      <c r="N9" s="1196"/>
      <c r="O9" s="58"/>
      <c r="P9" s="239"/>
      <c r="Q9" s="1316"/>
      <c r="R9" s="1269"/>
      <c r="S9" s="1269"/>
      <c r="T9" s="1269"/>
      <c r="U9" s="1269"/>
      <c r="V9" s="1269"/>
      <c r="W9" s="1317"/>
      <c r="Y9" s="153" t="s">
        <v>446</v>
      </c>
      <c r="Z9" s="176">
        <f>SUMIF($G$16:$G$43,"CNTY or CTY",$K$16:$K$43)</f>
        <v>0</v>
      </c>
      <c r="AA9" s="176">
        <f>SUMIF($G$16:$G$43,"CNTY or CTY",$S$16:$S$43)</f>
        <v>0</v>
      </c>
    </row>
    <row r="10" spans="1:28" s="57" customFormat="1" ht="16.5" customHeight="1" thickBot="1" x14ac:dyDescent="0.25">
      <c r="A10" s="1152" t="s">
        <v>276</v>
      </c>
      <c r="B10" s="1153"/>
      <c r="C10" s="1153"/>
      <c r="D10" s="1148">
        <f>O6+O10</f>
        <v>0</v>
      </c>
      <c r="E10" s="1309"/>
      <c r="F10" s="1228" t="s">
        <v>20</v>
      </c>
      <c r="G10" s="1196"/>
      <c r="H10" s="790"/>
      <c r="I10" s="1310"/>
      <c r="J10" s="1310"/>
      <c r="K10" s="1310"/>
      <c r="L10" s="1310"/>
      <c r="M10" s="1196" t="s">
        <v>233</v>
      </c>
      <c r="N10" s="1196"/>
      <c r="O10" s="788">
        <f>O8+O9*10</f>
        <v>0</v>
      </c>
      <c r="P10" s="240"/>
      <c r="Q10" s="1311" t="s">
        <v>239</v>
      </c>
      <c r="R10" s="1312"/>
      <c r="S10" s="1312"/>
      <c r="T10" s="1312"/>
      <c r="U10" s="1312"/>
      <c r="V10" s="1312"/>
      <c r="W10" s="1313"/>
      <c r="Y10" s="264" t="s">
        <v>246</v>
      </c>
      <c r="Z10" s="148">
        <f>SUM(Z5:Z9)</f>
        <v>193.99999999999997</v>
      </c>
      <c r="AA10" s="148">
        <f>SUM(AA5:AA9)</f>
        <v>0</v>
      </c>
    </row>
    <row r="11" spans="1:28" s="57" customFormat="1" ht="16.5" customHeight="1" thickBot="1" x14ac:dyDescent="0.25">
      <c r="A11" s="1150" t="s">
        <v>277</v>
      </c>
      <c r="B11" s="1151"/>
      <c r="C11" s="1151"/>
      <c r="D11" s="1146">
        <f>ROUNDUP(D10/10,0)</f>
        <v>0</v>
      </c>
      <c r="E11" s="1293"/>
      <c r="F11" s="1294" t="s">
        <v>21</v>
      </c>
      <c r="G11" s="1174"/>
      <c r="H11" s="792"/>
      <c r="I11" s="1295"/>
      <c r="J11" s="1295"/>
      <c r="K11" s="1295"/>
      <c r="L11" s="1295"/>
      <c r="M11" s="1353" t="s">
        <v>568</v>
      </c>
      <c r="N11" s="1353"/>
      <c r="O11" s="793">
        <f>'1-DUI (Reduce Base)'!P11</f>
        <v>7</v>
      </c>
      <c r="P11" s="240"/>
      <c r="Q11" s="1296" t="s">
        <v>430</v>
      </c>
      <c r="R11" s="1297"/>
      <c r="S11" s="1297"/>
      <c r="T11" s="1297"/>
      <c r="U11" s="1297"/>
      <c r="V11" s="1297"/>
      <c r="W11" s="1298"/>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112">
        <v>0.02</v>
      </c>
      <c r="B14" s="112" t="s">
        <v>58</v>
      </c>
      <c r="C14" s="1160" t="s">
        <v>226</v>
      </c>
      <c r="D14" s="1161"/>
      <c r="E14" s="1161"/>
      <c r="F14" s="1162"/>
      <c r="G14" s="113" t="s">
        <v>249</v>
      </c>
      <c r="H14" s="114" t="s">
        <v>0</v>
      </c>
      <c r="I14" s="266" t="s">
        <v>298</v>
      </c>
      <c r="J14" s="1287" t="s">
        <v>6</v>
      </c>
      <c r="K14" s="234" t="s">
        <v>299</v>
      </c>
      <c r="L14" s="67"/>
      <c r="M14" s="1256" t="s">
        <v>260</v>
      </c>
      <c r="N14" s="1257"/>
      <c r="O14" s="120" t="s">
        <v>248</v>
      </c>
      <c r="P14" s="121"/>
      <c r="Q14" s="690" t="s">
        <v>428</v>
      </c>
      <c r="R14" s="1287" t="s">
        <v>6</v>
      </c>
      <c r="S14" s="234" t="s">
        <v>299</v>
      </c>
      <c r="T14" s="228"/>
      <c r="U14" s="265" t="s">
        <v>256</v>
      </c>
      <c r="V14" s="1289" t="s">
        <v>61</v>
      </c>
      <c r="W14" s="1291" t="s">
        <v>384</v>
      </c>
    </row>
    <row r="15" spans="1:28" ht="30.75" customHeight="1" thickBot="1" x14ac:dyDescent="0.25">
      <c r="A15" s="115"/>
      <c r="B15" s="115"/>
      <c r="C15" s="1163"/>
      <c r="D15" s="1164"/>
      <c r="E15" s="1164"/>
      <c r="F15" s="1165"/>
      <c r="G15" s="116"/>
      <c r="H15" s="116"/>
      <c r="I15" s="267"/>
      <c r="J15" s="1288"/>
      <c r="K15" s="244" t="s">
        <v>42</v>
      </c>
      <c r="L15" s="68"/>
      <c r="M15" s="1254"/>
      <c r="N15" s="1255"/>
      <c r="O15" s="245" t="s">
        <v>43</v>
      </c>
      <c r="P15" s="121"/>
      <c r="Q15" s="246" t="e">
        <f>(Q34-Q30)/(I34-I30)</f>
        <v>#DIV/0!</v>
      </c>
      <c r="R15" s="1288"/>
      <c r="S15" s="244" t="s">
        <v>44</v>
      </c>
      <c r="T15" s="228"/>
      <c r="U15" s="298" t="s">
        <v>300</v>
      </c>
      <c r="V15" s="1290"/>
      <c r="W15" s="1292"/>
    </row>
    <row r="16" spans="1:28" s="74" customFormat="1" ht="15.75" customHeight="1" thickTop="1" x14ac:dyDescent="0.2">
      <c r="A16" s="69" t="s">
        <v>8</v>
      </c>
      <c r="B16" s="1178" t="s">
        <v>241</v>
      </c>
      <c r="C16" s="1285" t="s">
        <v>490</v>
      </c>
      <c r="D16" s="1226"/>
      <c r="E16" s="1226"/>
      <c r="F16" s="1226"/>
      <c r="G16" s="695" t="s">
        <v>32</v>
      </c>
      <c r="H16" s="71" t="s">
        <v>14</v>
      </c>
      <c r="I16" s="154">
        <v>50</v>
      </c>
      <c r="J16" s="162">
        <f t="shared" ref="J16:J33" si="0">IF(A16="Y", I16*2%,0)</f>
        <v>1</v>
      </c>
      <c r="K16" s="198">
        <f t="shared" ref="K16:K33" si="1">I16-J16</f>
        <v>49</v>
      </c>
      <c r="L16" s="164"/>
      <c r="M16" s="1271"/>
      <c r="N16" s="1272"/>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178"/>
      <c r="C17" s="1286" t="s">
        <v>491</v>
      </c>
      <c r="D17" s="1172"/>
      <c r="E17" s="1172"/>
      <c r="F17" s="1172"/>
      <c r="G17" s="694" t="s">
        <v>32</v>
      </c>
      <c r="H17" s="77" t="s">
        <v>14</v>
      </c>
      <c r="I17" s="156">
        <v>50</v>
      </c>
      <c r="J17" s="162">
        <f t="shared" si="0"/>
        <v>1</v>
      </c>
      <c r="K17" s="167">
        <f t="shared" si="1"/>
        <v>49</v>
      </c>
      <c r="L17" s="164"/>
      <c r="M17" s="1183"/>
      <c r="N17" s="1184"/>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178"/>
      <c r="C18" s="1172" t="s">
        <v>212</v>
      </c>
      <c r="D18" s="1172"/>
      <c r="E18" s="1172"/>
      <c r="F18" s="1172"/>
      <c r="G18" s="694" t="s">
        <v>32</v>
      </c>
      <c r="H18" s="77" t="s">
        <v>27</v>
      </c>
      <c r="I18" s="155">
        <f>(D10-SUM(I16:I17))*D8</f>
        <v>-100</v>
      </c>
      <c r="J18" s="162">
        <f t="shared" si="0"/>
        <v>-2</v>
      </c>
      <c r="K18" s="167">
        <f t="shared" si="1"/>
        <v>-98</v>
      </c>
      <c r="L18" s="164"/>
      <c r="M18" s="1183"/>
      <c r="N18" s="1184"/>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179"/>
      <c r="C19" s="1172" t="s">
        <v>213</v>
      </c>
      <c r="D19" s="1172"/>
      <c r="E19" s="1172"/>
      <c r="F19" s="1172"/>
      <c r="G19" s="694" t="s">
        <v>52</v>
      </c>
      <c r="H19" s="77" t="s">
        <v>25</v>
      </c>
      <c r="I19" s="155">
        <f>(D10-SUM(I16:I17))*D9</f>
        <v>0</v>
      </c>
      <c r="J19" s="162">
        <f t="shared" si="0"/>
        <v>0</v>
      </c>
      <c r="K19" s="167">
        <f t="shared" si="1"/>
        <v>0</v>
      </c>
      <c r="L19" s="164"/>
      <c r="M19" s="1183"/>
      <c r="N19" s="1184"/>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172" t="s">
        <v>546</v>
      </c>
      <c r="D20" s="1172"/>
      <c r="E20" s="1172"/>
      <c r="F20" s="1172"/>
      <c r="G20" s="694" t="s">
        <v>31</v>
      </c>
      <c r="H20" s="77" t="s">
        <v>26</v>
      </c>
      <c r="I20" s="155">
        <f>$D$11*B20</f>
        <v>0</v>
      </c>
      <c r="J20" s="162">
        <f t="shared" si="0"/>
        <v>0</v>
      </c>
      <c r="K20" s="167">
        <f t="shared" si="1"/>
        <v>0</v>
      </c>
      <c r="L20" s="164"/>
      <c r="M20" s="1183"/>
      <c r="N20" s="1184"/>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172" t="s">
        <v>547</v>
      </c>
      <c r="D21" s="1172"/>
      <c r="E21" s="1172"/>
      <c r="F21" s="1172"/>
      <c r="G21" s="694" t="s">
        <v>32</v>
      </c>
      <c r="H21" s="77" t="s">
        <v>27</v>
      </c>
      <c r="I21" s="155">
        <f t="shared" ref="I21:I32" si="6">$D$11*B21</f>
        <v>0</v>
      </c>
      <c r="J21" s="162">
        <f t="shared" si="0"/>
        <v>0</v>
      </c>
      <c r="K21" s="167">
        <f t="shared" si="1"/>
        <v>0</v>
      </c>
      <c r="L21" s="164"/>
      <c r="M21" s="1183"/>
      <c r="N21" s="1184"/>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183" t="s">
        <v>216</v>
      </c>
      <c r="D22" s="1240"/>
      <c r="E22" s="1240"/>
      <c r="F22" s="1241"/>
      <c r="G22" s="694" t="s">
        <v>32</v>
      </c>
      <c r="H22" s="77" t="s">
        <v>55</v>
      </c>
      <c r="I22" s="155">
        <f t="shared" si="6"/>
        <v>0</v>
      </c>
      <c r="J22" s="162">
        <f t="shared" si="0"/>
        <v>0</v>
      </c>
      <c r="K22" s="167">
        <f t="shared" si="1"/>
        <v>0</v>
      </c>
      <c r="L22" s="164"/>
      <c r="M22" s="1183"/>
      <c r="N22" s="1184"/>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183" t="s">
        <v>466</v>
      </c>
      <c r="D23" s="1240"/>
      <c r="E23" s="1240"/>
      <c r="F23" s="1241"/>
      <c r="G23" s="694" t="s">
        <v>31</v>
      </c>
      <c r="H23" s="77" t="s">
        <v>72</v>
      </c>
      <c r="I23" s="155">
        <f t="shared" si="6"/>
        <v>0</v>
      </c>
      <c r="J23" s="162">
        <f t="shared" si="0"/>
        <v>0</v>
      </c>
      <c r="K23" s="167">
        <f t="shared" si="1"/>
        <v>0</v>
      </c>
      <c r="L23" s="164"/>
      <c r="M23" s="1183"/>
      <c r="N23" s="1184"/>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172" t="s">
        <v>217</v>
      </c>
      <c r="D24" s="1172"/>
      <c r="E24" s="1279" t="str">
        <f>IF(SUM(B24:B28)=O11,"GC 76000 PA ($" &amp;O11 &amp; " for every 10) breakdown per local board of supervisor resolution (BOS).","ERROR! GC 76000 PA total is not $" &amp;O11&amp; ". Check Court's board resolution.")</f>
        <v>ERROR! GC 76000 PA total is not $7. Check Court's board resolution.</v>
      </c>
      <c r="F24" s="1280"/>
      <c r="G24" s="694" t="s">
        <v>32</v>
      </c>
      <c r="H24" s="77" t="s">
        <v>64</v>
      </c>
      <c r="I24" s="155">
        <f t="shared" si="6"/>
        <v>0</v>
      </c>
      <c r="J24" s="162">
        <f t="shared" si="0"/>
        <v>0</v>
      </c>
      <c r="K24" s="167">
        <f t="shared" si="1"/>
        <v>0</v>
      </c>
      <c r="L24" s="164"/>
      <c r="M24" s="1183"/>
      <c r="N24" s="1184"/>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172" t="s">
        <v>218</v>
      </c>
      <c r="D25" s="1172"/>
      <c r="E25" s="1281"/>
      <c r="F25" s="1282"/>
      <c r="G25" s="694" t="s">
        <v>32</v>
      </c>
      <c r="H25" s="77" t="s">
        <v>35</v>
      </c>
      <c r="I25" s="155">
        <f t="shared" si="6"/>
        <v>0</v>
      </c>
      <c r="J25" s="162">
        <f t="shared" si="0"/>
        <v>0</v>
      </c>
      <c r="K25" s="167">
        <f t="shared" si="1"/>
        <v>0</v>
      </c>
      <c r="L25" s="164"/>
      <c r="M25" s="1183"/>
      <c r="N25" s="1184"/>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172" t="s">
        <v>219</v>
      </c>
      <c r="D26" s="1172"/>
      <c r="E26" s="1281"/>
      <c r="F26" s="1282"/>
      <c r="G26" s="694" t="s">
        <v>32</v>
      </c>
      <c r="H26" s="77" t="s">
        <v>65</v>
      </c>
      <c r="I26" s="155">
        <f t="shared" si="6"/>
        <v>0</v>
      </c>
      <c r="J26" s="162">
        <f t="shared" si="0"/>
        <v>0</v>
      </c>
      <c r="K26" s="167">
        <f t="shared" si="1"/>
        <v>0</v>
      </c>
      <c r="L26" s="164"/>
      <c r="M26" s="1183"/>
      <c r="N26" s="1184"/>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172" t="s">
        <v>401</v>
      </c>
      <c r="D27" s="1172"/>
      <c r="E27" s="1281"/>
      <c r="F27" s="1282"/>
      <c r="G27" s="694" t="s">
        <v>32</v>
      </c>
      <c r="H27" s="77" t="s">
        <v>65</v>
      </c>
      <c r="I27" s="155">
        <f>$D$11*B27</f>
        <v>0</v>
      </c>
      <c r="J27" s="162">
        <f>IF(A27="Y", I27*2%,0)</f>
        <v>0</v>
      </c>
      <c r="K27" s="167">
        <f t="shared" si="1"/>
        <v>0</v>
      </c>
      <c r="L27" s="164"/>
      <c r="M27" s="1183"/>
      <c r="N27" s="1184"/>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172" t="s">
        <v>254</v>
      </c>
      <c r="D28" s="1172"/>
      <c r="E28" s="1283"/>
      <c r="F28" s="1284"/>
      <c r="G28" s="694" t="s">
        <v>32</v>
      </c>
      <c r="H28" s="77"/>
      <c r="I28" s="155">
        <f t="shared" si="6"/>
        <v>0</v>
      </c>
      <c r="J28" s="162">
        <f t="shared" si="0"/>
        <v>0</v>
      </c>
      <c r="K28" s="167">
        <f t="shared" si="1"/>
        <v>0</v>
      </c>
      <c r="L28" s="164"/>
      <c r="M28" s="1183"/>
      <c r="N28" s="1184"/>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154" t="s">
        <v>286</v>
      </c>
      <c r="D29" s="1155"/>
      <c r="E29" s="1155"/>
      <c r="F29" s="1232"/>
      <c r="G29" s="702" t="s">
        <v>32</v>
      </c>
      <c r="H29" s="84" t="s">
        <v>36</v>
      </c>
      <c r="I29" s="155">
        <f t="shared" si="6"/>
        <v>0</v>
      </c>
      <c r="J29" s="162">
        <f t="shared" si="0"/>
        <v>0</v>
      </c>
      <c r="K29" s="167">
        <f t="shared" si="1"/>
        <v>0</v>
      </c>
      <c r="L29" s="164"/>
      <c r="M29" s="1183"/>
      <c r="N29" s="1184"/>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154" t="s">
        <v>385</v>
      </c>
      <c r="D30" s="1155"/>
      <c r="E30" s="1155"/>
      <c r="F30" s="1232"/>
      <c r="G30" s="702" t="s">
        <v>31</v>
      </c>
      <c r="H30" s="91" t="s">
        <v>39</v>
      </c>
      <c r="I30" s="204">
        <v>4</v>
      </c>
      <c r="J30" s="162">
        <f>IF(A30="Y", I30*2%,0)</f>
        <v>0.08</v>
      </c>
      <c r="K30" s="167">
        <f t="shared" si="1"/>
        <v>3.92</v>
      </c>
      <c r="L30" s="164"/>
      <c r="M30" s="1183"/>
      <c r="N30" s="1184"/>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154" t="s">
        <v>555</v>
      </c>
      <c r="D31" s="1155"/>
      <c r="E31" s="1232"/>
      <c r="F31" s="1088" t="s">
        <v>281</v>
      </c>
      <c r="G31" s="702" t="s">
        <v>31</v>
      </c>
      <c r="H31" s="84" t="s">
        <v>37</v>
      </c>
      <c r="I31" s="155">
        <f t="shared" si="6"/>
        <v>0</v>
      </c>
      <c r="J31" s="162">
        <f t="shared" si="0"/>
        <v>0</v>
      </c>
      <c r="K31" s="167">
        <f t="shared" si="1"/>
        <v>0</v>
      </c>
      <c r="L31" s="164"/>
      <c r="M31" s="1183"/>
      <c r="N31" s="1184"/>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154" t="s">
        <v>556</v>
      </c>
      <c r="D32" s="1155"/>
      <c r="E32" s="1232"/>
      <c r="F32" s="1089"/>
      <c r="G32" s="702" t="s">
        <v>31</v>
      </c>
      <c r="H32" s="84" t="s">
        <v>197</v>
      </c>
      <c r="I32" s="155">
        <f t="shared" si="6"/>
        <v>0</v>
      </c>
      <c r="J32" s="162">
        <f t="shared" si="0"/>
        <v>0</v>
      </c>
      <c r="K32" s="167">
        <f t="shared" si="1"/>
        <v>0</v>
      </c>
      <c r="L32" s="164"/>
      <c r="M32" s="1183"/>
      <c r="N32" s="1184"/>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154" t="s">
        <v>220</v>
      </c>
      <c r="D33" s="1155"/>
      <c r="E33" s="1155"/>
      <c r="F33" s="1232"/>
      <c r="G33" s="702" t="s">
        <v>31</v>
      </c>
      <c r="H33" s="84" t="s">
        <v>10</v>
      </c>
      <c r="I33" s="155">
        <f>$D$10*20%</f>
        <v>0</v>
      </c>
      <c r="J33" s="162">
        <f t="shared" si="0"/>
        <v>0</v>
      </c>
      <c r="K33" s="167">
        <f t="shared" si="1"/>
        <v>0</v>
      </c>
      <c r="L33" s="164"/>
      <c r="M33" s="1183"/>
      <c r="N33" s="1184"/>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229" t="s">
        <v>221</v>
      </c>
      <c r="D34" s="1230"/>
      <c r="E34" s="1230"/>
      <c r="F34" s="1231"/>
      <c r="G34" s="703"/>
      <c r="H34" s="88"/>
      <c r="I34" s="157">
        <f>SUM(I16:I33)</f>
        <v>4</v>
      </c>
      <c r="J34" s="162"/>
      <c r="K34" s="168">
        <f>SUM(K16:K33)</f>
        <v>3.92</v>
      </c>
      <c r="L34" s="165"/>
      <c r="M34" s="1154"/>
      <c r="N34" s="1239"/>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154" t="s">
        <v>419</v>
      </c>
      <c r="D35" s="1155"/>
      <c r="E35" s="1155"/>
      <c r="F35" s="1232"/>
      <c r="G35" s="702" t="s">
        <v>31</v>
      </c>
      <c r="H35" s="91"/>
      <c r="I35" s="204">
        <v>40</v>
      </c>
      <c r="J35" s="162">
        <f>IF(A35="Y", I35*2%,0)</f>
        <v>0</v>
      </c>
      <c r="K35" s="167">
        <f t="shared" ref="K35:K42" si="9">I35-J35</f>
        <v>40</v>
      </c>
      <c r="L35" s="164"/>
      <c r="M35" s="1183"/>
      <c r="N35" s="1184"/>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233" t="s">
        <v>259</v>
      </c>
      <c r="D36" s="1234"/>
      <c r="E36" s="1234"/>
      <c r="F36" s="1235"/>
      <c r="G36" s="704" t="s">
        <v>31</v>
      </c>
      <c r="H36" s="92" t="s">
        <v>197</v>
      </c>
      <c r="I36" s="204">
        <v>30</v>
      </c>
      <c r="J36" s="162">
        <f t="shared" ref="J36:J42" si="11">IF(A36="Y", I36*2%,0)</f>
        <v>0</v>
      </c>
      <c r="K36" s="167">
        <f t="shared" si="9"/>
        <v>30</v>
      </c>
      <c r="L36" s="164"/>
      <c r="M36" s="1183"/>
      <c r="N36" s="1184"/>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233" t="s">
        <v>421</v>
      </c>
      <c r="D37" s="1234"/>
      <c r="E37" s="1234"/>
      <c r="F37" s="1235"/>
      <c r="G37" s="704" t="s">
        <v>230</v>
      </c>
      <c r="H37" s="92" t="s">
        <v>24</v>
      </c>
      <c r="I37" s="204"/>
      <c r="J37" s="162">
        <f t="shared" si="11"/>
        <v>0</v>
      </c>
      <c r="K37" s="167">
        <f t="shared" si="9"/>
        <v>0</v>
      </c>
      <c r="L37" s="164"/>
      <c r="M37" s="1183"/>
      <c r="N37" s="1184"/>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233" t="s">
        <v>447</v>
      </c>
      <c r="D38" s="1234"/>
      <c r="E38" s="1234"/>
      <c r="F38" s="1235"/>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233" t="s">
        <v>559</v>
      </c>
      <c r="D39" s="1234"/>
      <c r="E39" s="1234"/>
      <c r="F39" s="1235"/>
      <c r="G39" s="704" t="s">
        <v>31</v>
      </c>
      <c r="H39" s="92" t="s">
        <v>13</v>
      </c>
      <c r="I39" s="204">
        <v>120</v>
      </c>
      <c r="J39" s="162">
        <f t="shared" si="11"/>
        <v>2.4</v>
      </c>
      <c r="K39" s="167">
        <f t="shared" si="9"/>
        <v>117.6</v>
      </c>
      <c r="L39" s="164"/>
      <c r="M39" s="1183"/>
      <c r="N39" s="1184"/>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233" t="s">
        <v>454</v>
      </c>
      <c r="D40" s="1234"/>
      <c r="E40" s="1234"/>
      <c r="F40" s="1235"/>
      <c r="G40" s="704" t="s">
        <v>32</v>
      </c>
      <c r="H40" s="92" t="s">
        <v>27</v>
      </c>
      <c r="I40" s="204"/>
      <c r="J40" s="162">
        <f t="shared" si="11"/>
        <v>0</v>
      </c>
      <c r="K40" s="167">
        <f t="shared" si="9"/>
        <v>0</v>
      </c>
      <c r="L40" s="164"/>
      <c r="M40" s="1183"/>
      <c r="N40" s="1184"/>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154" t="s">
        <v>517</v>
      </c>
      <c r="D41" s="1155"/>
      <c r="E41" s="1155"/>
      <c r="F41" s="1232"/>
      <c r="G41" s="704" t="s">
        <v>230</v>
      </c>
      <c r="H41" s="92" t="s">
        <v>82</v>
      </c>
      <c r="I41" s="204"/>
      <c r="J41" s="162">
        <f t="shared" si="11"/>
        <v>0</v>
      </c>
      <c r="K41" s="167">
        <f t="shared" si="9"/>
        <v>0</v>
      </c>
      <c r="L41" s="164"/>
      <c r="M41" s="1183"/>
      <c r="N41" s="1184"/>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233" t="s">
        <v>225</v>
      </c>
      <c r="D42" s="1234"/>
      <c r="E42" s="1234"/>
      <c r="F42" s="1235"/>
      <c r="G42" s="704" t="s">
        <v>31</v>
      </c>
      <c r="H42" s="92" t="s">
        <v>80</v>
      </c>
      <c r="I42" s="205"/>
      <c r="J42" s="162">
        <f t="shared" si="11"/>
        <v>0</v>
      </c>
      <c r="K42" s="167">
        <f t="shared" si="9"/>
        <v>0</v>
      </c>
      <c r="L42" s="164"/>
      <c r="M42" s="1183"/>
      <c r="N42" s="1184"/>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183" t="s">
        <v>487</v>
      </c>
      <c r="D43" s="1240"/>
      <c r="E43" s="1240"/>
      <c r="F43" s="1241"/>
      <c r="G43" s="705" t="s">
        <v>31</v>
      </c>
      <c r="H43" s="96" t="s">
        <v>41</v>
      </c>
      <c r="I43" s="97"/>
      <c r="J43" s="163"/>
      <c r="K43" s="169">
        <f>J44</f>
        <v>2.48</v>
      </c>
      <c r="L43" s="164"/>
      <c r="M43" s="1183"/>
      <c r="N43" s="1184"/>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276" t="s">
        <v>429</v>
      </c>
      <c r="B46" s="1276"/>
      <c r="C46" s="1276"/>
      <c r="D46" s="210"/>
      <c r="E46" s="133"/>
      <c r="F46" s="133"/>
      <c r="K46" s="135"/>
      <c r="L46" s="136"/>
      <c r="P46" s="137"/>
      <c r="Q46" s="137"/>
      <c r="R46" s="137"/>
      <c r="S46" s="137"/>
      <c r="T46" s="137"/>
      <c r="U46" s="138"/>
      <c r="V46" s="138"/>
      <c r="W46" s="139"/>
    </row>
    <row r="47" spans="1:28" s="141" customFormat="1" ht="18" customHeight="1" x14ac:dyDescent="0.2">
      <c r="A47" s="769">
        <v>1</v>
      </c>
      <c r="B47" s="1352"/>
      <c r="C47" s="1352"/>
      <c r="D47" s="1352"/>
      <c r="E47" s="1352"/>
      <c r="F47" s="1352"/>
      <c r="G47" s="1352"/>
      <c r="H47" s="1352"/>
      <c r="I47" s="1352"/>
      <c r="J47" s="1352"/>
      <c r="K47" s="1352"/>
      <c r="L47" s="1352"/>
      <c r="M47" s="1352"/>
      <c r="N47" s="1352"/>
      <c r="O47" s="1352"/>
      <c r="P47" s="1352"/>
      <c r="Q47" s="1352"/>
      <c r="R47" s="1352"/>
      <c r="S47" s="1352"/>
      <c r="T47" s="1352"/>
      <c r="U47" s="1352"/>
      <c r="V47" s="1352"/>
      <c r="W47" s="1352"/>
    </row>
    <row r="48" spans="1:28" s="141" customFormat="1" ht="18" customHeight="1" x14ac:dyDescent="0.2">
      <c r="A48" s="769">
        <v>2</v>
      </c>
      <c r="B48" s="1352"/>
      <c r="C48" s="1352"/>
      <c r="D48" s="1352"/>
      <c r="E48" s="1352"/>
      <c r="F48" s="1352"/>
      <c r="G48" s="1352"/>
      <c r="H48" s="1352"/>
      <c r="I48" s="1352"/>
      <c r="J48" s="1352"/>
      <c r="K48" s="1352"/>
      <c r="L48" s="1352"/>
      <c r="M48" s="1352"/>
      <c r="N48" s="1352"/>
      <c r="O48" s="1352"/>
      <c r="P48" s="1352"/>
      <c r="Q48" s="1352"/>
      <c r="R48" s="1352"/>
      <c r="S48" s="1352"/>
      <c r="T48" s="1352"/>
      <c r="U48" s="1352"/>
      <c r="V48" s="1352"/>
      <c r="W48" s="1352"/>
    </row>
    <row r="49" spans="1:23" s="141" customFormat="1" ht="18" customHeight="1" x14ac:dyDescent="0.2">
      <c r="A49" s="769">
        <v>3</v>
      </c>
      <c r="B49" s="1352"/>
      <c r="C49" s="1352"/>
      <c r="D49" s="1352"/>
      <c r="E49" s="1352"/>
      <c r="F49" s="1352"/>
      <c r="G49" s="1352"/>
      <c r="H49" s="1352"/>
      <c r="I49" s="1352"/>
      <c r="J49" s="1352"/>
      <c r="K49" s="1352"/>
      <c r="L49" s="1352"/>
      <c r="M49" s="1352"/>
      <c r="N49" s="1352"/>
      <c r="O49" s="1352"/>
      <c r="P49" s="1352"/>
      <c r="Q49" s="1352"/>
      <c r="R49" s="1352"/>
      <c r="S49" s="1352"/>
      <c r="T49" s="1352"/>
      <c r="U49" s="1352"/>
      <c r="V49" s="1352"/>
      <c r="W49" s="1352"/>
    </row>
    <row r="50" spans="1:23" s="54" customFormat="1" ht="18" customHeight="1" x14ac:dyDescent="0.2">
      <c r="A50" s="769">
        <v>4</v>
      </c>
      <c r="B50" s="1352"/>
      <c r="C50" s="1352"/>
      <c r="D50" s="1352"/>
      <c r="E50" s="1352"/>
      <c r="F50" s="1352"/>
      <c r="G50" s="1352"/>
      <c r="H50" s="1352"/>
      <c r="I50" s="1352"/>
      <c r="J50" s="1352"/>
      <c r="K50" s="1352"/>
      <c r="L50" s="1352"/>
      <c r="M50" s="1352"/>
      <c r="N50" s="1352"/>
      <c r="O50" s="1352"/>
      <c r="P50" s="1352"/>
      <c r="Q50" s="1352"/>
      <c r="R50" s="1352"/>
      <c r="S50" s="1352"/>
      <c r="T50" s="1352"/>
      <c r="U50" s="1352"/>
      <c r="V50" s="1352"/>
      <c r="W50" s="1352"/>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41" priority="22" stopIfTrue="1" operator="equal">
      <formula>0</formula>
    </cfRule>
  </conditionalFormatting>
  <conditionalFormatting sqref="H29 H31:H33 H16:H23">
    <cfRule type="expression" dxfId="140" priority="21" stopIfTrue="1">
      <formula>MOD(ROW(),2)=0</formula>
    </cfRule>
  </conditionalFormatting>
  <conditionalFormatting sqref="U46:V46 U51:V65533 U12:V13">
    <cfRule type="cellIs" dxfId="139" priority="20" stopIfTrue="1" operator="notEqual">
      <formula>0</formula>
    </cfRule>
  </conditionalFormatting>
  <conditionalFormatting sqref="H24:H29">
    <cfRule type="expression" dxfId="138" priority="19" stopIfTrue="1">
      <formula>MOD(ROW(), 2)=0</formula>
    </cfRule>
  </conditionalFormatting>
  <conditionalFormatting sqref="I16:I17">
    <cfRule type="cellIs" dxfId="137" priority="18" stopIfTrue="1" operator="equal">
      <formula>0</formula>
    </cfRule>
  </conditionalFormatting>
  <conditionalFormatting sqref="N20:N43 M16:M43 O16:O43 N16 M35:N35">
    <cfRule type="expression" dxfId="136" priority="16">
      <formula>MOD(ROW(),2)=0</formula>
    </cfRule>
  </conditionalFormatting>
  <conditionalFormatting sqref="I18:I29 I31:I34 J16:K43">
    <cfRule type="cellIs" dxfId="135" priority="15" operator="equal">
      <formula>0</formula>
    </cfRule>
  </conditionalFormatting>
  <conditionalFormatting sqref="V16:V43">
    <cfRule type="cellIs" dxfId="134" priority="5" operator="greaterThan">
      <formula>0</formula>
    </cfRule>
  </conditionalFormatting>
  <conditionalFormatting sqref="E24">
    <cfRule type="cellIs" dxfId="133"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87" t="s">
        <v>268</v>
      </c>
      <c r="B1" s="1188"/>
      <c r="C1" s="1188"/>
      <c r="D1" s="1188"/>
      <c r="E1" s="1188"/>
      <c r="F1" s="1188"/>
      <c r="G1" s="1188"/>
      <c r="H1" s="1188"/>
      <c r="I1" s="1188"/>
      <c r="J1" s="1188"/>
      <c r="K1" s="1188"/>
      <c r="L1" s="1188"/>
      <c r="M1" s="1188"/>
      <c r="N1" s="1185"/>
      <c r="O1" s="1185"/>
      <c r="P1" s="1185"/>
      <c r="Q1" s="1185"/>
      <c r="R1" s="1185"/>
      <c r="S1" s="1185"/>
      <c r="T1" s="1185"/>
      <c r="U1" s="1185"/>
      <c r="V1" s="1185"/>
      <c r="W1" s="1185"/>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205" t="s">
        <v>234</v>
      </c>
      <c r="B3" s="1206"/>
      <c r="C3" s="1206"/>
      <c r="D3" s="1206"/>
      <c r="E3" s="1206"/>
      <c r="F3" s="1206"/>
      <c r="G3" s="1206"/>
      <c r="H3" s="1206"/>
      <c r="I3" s="1206"/>
      <c r="J3" s="1206"/>
      <c r="K3" s="1206"/>
      <c r="L3" s="1206"/>
      <c r="M3" s="1206"/>
      <c r="N3" s="1206"/>
      <c r="O3" s="1206"/>
      <c r="P3" s="1206"/>
      <c r="Q3" s="1207"/>
      <c r="R3" s="237"/>
      <c r="S3" s="1342" t="s">
        <v>261</v>
      </c>
      <c r="T3" s="1343"/>
      <c r="U3" s="1343"/>
      <c r="V3" s="1343"/>
      <c r="W3" s="1343"/>
      <c r="X3" s="1343"/>
      <c r="Y3" s="1344"/>
      <c r="AA3" s="174" t="s">
        <v>250</v>
      </c>
      <c r="AB3" s="132"/>
    </row>
    <row r="4" spans="1:30" s="57" customFormat="1" ht="15.75" x14ac:dyDescent="0.2">
      <c r="A4" s="1202" t="s">
        <v>231</v>
      </c>
      <c r="B4" s="1199"/>
      <c r="C4" s="1199"/>
      <c r="D4" s="1203">
        <f>N1</f>
        <v>0</v>
      </c>
      <c r="E4" s="1204"/>
      <c r="F4" s="1366" t="s">
        <v>28</v>
      </c>
      <c r="G4" s="1367"/>
      <c r="H4" s="1367"/>
      <c r="I4" s="1368"/>
      <c r="J4" s="1369"/>
      <c r="K4" s="1369"/>
      <c r="L4" s="1369"/>
      <c r="M4" s="1369"/>
      <c r="N4" s="1370"/>
      <c r="O4" s="1348" t="s">
        <v>257</v>
      </c>
      <c r="P4" s="1348"/>
      <c r="Q4" s="209"/>
      <c r="R4" s="238"/>
      <c r="S4" s="1349" t="s">
        <v>236</v>
      </c>
      <c r="T4" s="1350"/>
      <c r="U4" s="1350"/>
      <c r="V4" s="1350"/>
      <c r="W4" s="1350"/>
      <c r="X4" s="1350"/>
      <c r="Y4" s="1351"/>
      <c r="AA4" s="271" t="s">
        <v>308</v>
      </c>
      <c r="AB4" s="269" t="s">
        <v>309</v>
      </c>
      <c r="AC4" s="269" t="s">
        <v>310</v>
      </c>
    </row>
    <row r="5" spans="1:30" s="57" customFormat="1" ht="15.75" x14ac:dyDescent="0.2">
      <c r="A5" s="1200" t="s">
        <v>4</v>
      </c>
      <c r="B5" s="1201"/>
      <c r="C5" s="1201"/>
      <c r="D5" s="1221"/>
      <c r="E5" s="1193"/>
      <c r="F5" s="1371" t="s">
        <v>244</v>
      </c>
      <c r="G5" s="1338"/>
      <c r="H5" s="1338"/>
      <c r="I5" s="1220"/>
      <c r="J5" s="1357"/>
      <c r="K5" s="1357"/>
      <c r="L5" s="1357"/>
      <c r="M5" s="1357"/>
      <c r="N5" s="1159"/>
      <c r="O5" s="1338" t="s">
        <v>22</v>
      </c>
      <c r="P5" s="1338"/>
      <c r="Q5" s="58"/>
      <c r="R5" s="238"/>
      <c r="S5" s="1339" t="s">
        <v>302</v>
      </c>
      <c r="T5" s="1340"/>
      <c r="U5" s="1340"/>
      <c r="V5" s="1340"/>
      <c r="W5" s="1340"/>
      <c r="X5" s="1340"/>
      <c r="Y5" s="1341"/>
      <c r="AA5" s="172" t="s">
        <v>31</v>
      </c>
      <c r="AB5" s="176">
        <f>SUMIF($G$16:$G$41,"STATE",$M$16:$M$41)</f>
        <v>77.823999999999998</v>
      </c>
      <c r="AC5" s="176">
        <f>SUMIF($G$16:$G$41,"STATE",$U$16:$U$41)</f>
        <v>0</v>
      </c>
    </row>
    <row r="6" spans="1:30" s="57" customFormat="1" ht="16.5" thickBot="1" x14ac:dyDescent="0.25">
      <c r="A6" s="1200" t="s">
        <v>12</v>
      </c>
      <c r="B6" s="1201"/>
      <c r="C6" s="1201"/>
      <c r="D6" s="1221"/>
      <c r="E6" s="1193"/>
      <c r="F6" s="1371" t="s">
        <v>20</v>
      </c>
      <c r="G6" s="1338"/>
      <c r="H6" s="1338"/>
      <c r="I6" s="1220"/>
      <c r="J6" s="1357" t="s">
        <v>317</v>
      </c>
      <c r="K6" s="1357"/>
      <c r="L6" s="1357"/>
      <c r="M6" s="1357"/>
      <c r="N6" s="1159"/>
      <c r="O6" s="1334" t="s">
        <v>233</v>
      </c>
      <c r="P6" s="1334"/>
      <c r="Q6" s="212">
        <f>Q4+Q5*10</f>
        <v>0</v>
      </c>
      <c r="R6" s="238"/>
      <c r="S6" s="1335" t="s">
        <v>573</v>
      </c>
      <c r="T6" s="1336"/>
      <c r="U6" s="1336"/>
      <c r="V6" s="1336"/>
      <c r="W6" s="1336"/>
      <c r="X6" s="1336"/>
      <c r="Y6" s="1337"/>
      <c r="AA6" s="172" t="s">
        <v>32</v>
      </c>
      <c r="AB6" s="176">
        <f>SUMIF($G$16:$G$41,"COUNTY",$M$16:$M$41)</f>
        <v>1.1759999999999999</v>
      </c>
      <c r="AC6" s="176">
        <f>SUMIF($G$16:$G$41,"COUNTY",$U$16:$U$41)</f>
        <v>0</v>
      </c>
    </row>
    <row r="7" spans="1:30" s="57" customFormat="1" ht="16.5" thickBot="1" x14ac:dyDescent="0.25">
      <c r="A7" s="1200" t="s">
        <v>5</v>
      </c>
      <c r="B7" s="1201"/>
      <c r="C7" s="1201"/>
      <c r="D7" s="1158"/>
      <c r="E7" s="1193"/>
      <c r="F7" s="1375" t="s">
        <v>21</v>
      </c>
      <c r="G7" s="1376"/>
      <c r="H7" s="1376"/>
      <c r="I7" s="1377"/>
      <c r="J7" s="1374" t="s">
        <v>3</v>
      </c>
      <c r="K7" s="1374"/>
      <c r="L7" s="1374"/>
      <c r="M7" s="1374"/>
      <c r="N7" s="1195"/>
      <c r="O7" s="235"/>
      <c r="P7" s="242"/>
      <c r="Q7" s="236"/>
      <c r="R7" s="238"/>
      <c r="S7" s="1323" t="s">
        <v>235</v>
      </c>
      <c r="T7" s="1324"/>
      <c r="U7" s="1324"/>
      <c r="V7" s="1324"/>
      <c r="W7" s="1324"/>
      <c r="X7" s="1324"/>
      <c r="Y7" s="1325"/>
      <c r="AA7" s="172" t="s">
        <v>52</v>
      </c>
      <c r="AB7" s="176">
        <f>SUMIF($G$16:$G$41,"CITY",$M$16:$M$41)</f>
        <v>0</v>
      </c>
      <c r="AC7" s="176">
        <f>SUMIF($G$16:$G$41,"CITY",$U$16:$U$41)</f>
        <v>0</v>
      </c>
    </row>
    <row r="8" spans="1:30" s="57" customFormat="1" ht="15.75" customHeight="1" x14ac:dyDescent="0.2">
      <c r="A8" s="1326" t="s">
        <v>54</v>
      </c>
      <c r="B8" s="1327"/>
      <c r="C8" s="1327"/>
      <c r="D8" s="1328">
        <v>1</v>
      </c>
      <c r="E8" s="1372"/>
      <c r="F8" s="1378" t="s">
        <v>253</v>
      </c>
      <c r="G8" s="1373"/>
      <c r="H8" s="1373"/>
      <c r="I8" s="1198"/>
      <c r="J8" s="1369"/>
      <c r="K8" s="1369"/>
      <c r="L8" s="1369"/>
      <c r="M8" s="1369"/>
      <c r="N8" s="1370"/>
      <c r="O8" s="1373" t="s">
        <v>257</v>
      </c>
      <c r="P8" s="1373"/>
      <c r="Q8" s="55">
        <v>0</v>
      </c>
      <c r="R8" s="239"/>
      <c r="S8" s="1314" t="s">
        <v>303</v>
      </c>
      <c r="T8" s="1266"/>
      <c r="U8" s="1266"/>
      <c r="V8" s="1266"/>
      <c r="W8" s="1266"/>
      <c r="X8" s="1266"/>
      <c r="Y8" s="1315"/>
      <c r="AA8" s="172" t="s">
        <v>230</v>
      </c>
      <c r="AB8" s="176">
        <f>SUMIF($G$16:$G$41,"COURT",$M$16:$M$41)</f>
        <v>0</v>
      </c>
      <c r="AC8" s="176">
        <f>SUMIF($G$16:$G$41,"COURT",$U$16:$U$41)</f>
        <v>0</v>
      </c>
    </row>
    <row r="9" spans="1:30" s="57" customFormat="1" ht="18" customHeight="1" thickBot="1" x14ac:dyDescent="0.25">
      <c r="A9" s="1318" t="s">
        <v>53</v>
      </c>
      <c r="B9" s="1319"/>
      <c r="C9" s="1319"/>
      <c r="D9" s="1189">
        <f>100%-D8</f>
        <v>0</v>
      </c>
      <c r="E9" s="1190"/>
      <c r="F9" s="1371" t="s">
        <v>244</v>
      </c>
      <c r="G9" s="1338"/>
      <c r="H9" s="1338"/>
      <c r="I9" s="1220"/>
      <c r="J9" s="1357"/>
      <c r="K9" s="1357"/>
      <c r="L9" s="1357"/>
      <c r="M9" s="1357"/>
      <c r="N9" s="1159"/>
      <c r="O9" s="1196" t="s">
        <v>22</v>
      </c>
      <c r="P9" s="1196"/>
      <c r="Q9" s="58"/>
      <c r="R9" s="239"/>
      <c r="S9" s="1316"/>
      <c r="T9" s="1269"/>
      <c r="U9" s="1269"/>
      <c r="V9" s="1269"/>
      <c r="W9" s="1269"/>
      <c r="X9" s="1269"/>
      <c r="Y9" s="1317"/>
      <c r="AA9" s="153" t="s">
        <v>446</v>
      </c>
      <c r="AB9" s="176">
        <f>SUMIF($G$16:$G$41,"CNTY or CTY",$M$16:$M$41)</f>
        <v>0</v>
      </c>
      <c r="AC9" s="176">
        <f>SUMIF($G$16:$G$41,"CNTY or CTY",$U$16:$U$41)</f>
        <v>0</v>
      </c>
    </row>
    <row r="10" spans="1:30" s="57" customFormat="1" ht="16.5" customHeight="1" thickBot="1" x14ac:dyDescent="0.25">
      <c r="A10" s="1152" t="s">
        <v>276</v>
      </c>
      <c r="B10" s="1153"/>
      <c r="C10" s="1153"/>
      <c r="D10" s="1148">
        <f>Q6+Q10</f>
        <v>0</v>
      </c>
      <c r="E10" s="1149"/>
      <c r="F10" s="1371" t="s">
        <v>20</v>
      </c>
      <c r="G10" s="1338"/>
      <c r="H10" s="1338"/>
      <c r="I10" s="1220"/>
      <c r="J10" s="1357"/>
      <c r="K10" s="1357"/>
      <c r="L10" s="1357"/>
      <c r="M10" s="1357"/>
      <c r="N10" s="1159"/>
      <c r="O10" s="1196" t="s">
        <v>233</v>
      </c>
      <c r="P10" s="1196"/>
      <c r="Q10" s="788">
        <f>Q8+Q9*10</f>
        <v>0</v>
      </c>
      <c r="R10" s="240"/>
      <c r="S10" s="1311" t="s">
        <v>239</v>
      </c>
      <c r="T10" s="1312"/>
      <c r="U10" s="1312"/>
      <c r="V10" s="1312"/>
      <c r="W10" s="1312"/>
      <c r="X10" s="1312"/>
      <c r="Y10" s="1313"/>
      <c r="AA10" s="264" t="s">
        <v>246</v>
      </c>
      <c r="AB10" s="148">
        <f>SUM(AB5:AB9)</f>
        <v>79</v>
      </c>
      <c r="AC10" s="148">
        <f>SUM(AC5:AC9)</f>
        <v>0</v>
      </c>
    </row>
    <row r="11" spans="1:30" s="57" customFormat="1" ht="16.5" customHeight="1" thickBot="1" x14ac:dyDescent="0.25">
      <c r="A11" s="1150" t="s">
        <v>277</v>
      </c>
      <c r="B11" s="1151"/>
      <c r="C11" s="1151"/>
      <c r="D11" s="1146">
        <f>ROUNDUP(D10/10,0)</f>
        <v>0</v>
      </c>
      <c r="E11" s="1147"/>
      <c r="F11" s="1362" t="s">
        <v>21</v>
      </c>
      <c r="G11" s="1363"/>
      <c r="H11" s="1363"/>
      <c r="I11" s="1173"/>
      <c r="J11" s="1156"/>
      <c r="K11" s="1157"/>
      <c r="L11" s="1157"/>
      <c r="M11" s="1157"/>
      <c r="N11" s="1157"/>
      <c r="O11" s="1364" t="s">
        <v>568</v>
      </c>
      <c r="P11" s="1365"/>
      <c r="Q11" s="787">
        <f>'1-DUI (Reduce Base)'!P11</f>
        <v>7</v>
      </c>
      <c r="R11" s="240"/>
      <c r="S11" s="1296" t="s">
        <v>430</v>
      </c>
      <c r="T11" s="1297"/>
      <c r="U11" s="1297"/>
      <c r="V11" s="1297"/>
      <c r="W11" s="1297"/>
      <c r="X11" s="1297"/>
      <c r="Y11" s="1298"/>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299" t="s">
        <v>297</v>
      </c>
      <c r="L13" s="1300"/>
      <c r="M13" s="1300"/>
      <c r="N13" s="110"/>
      <c r="O13" s="1302" t="s">
        <v>229</v>
      </c>
      <c r="P13" s="1303"/>
      <c r="Q13" s="1304"/>
      <c r="R13" s="111"/>
      <c r="S13" s="1305" t="s">
        <v>295</v>
      </c>
      <c r="T13" s="1306"/>
      <c r="U13" s="1307"/>
      <c r="V13" s="226"/>
      <c r="W13" s="158"/>
      <c r="X13" s="158"/>
      <c r="Y13" s="159"/>
      <c r="Z13" s="108"/>
      <c r="AA13" s="108"/>
      <c r="AB13" s="108"/>
      <c r="AC13" s="108"/>
      <c r="AD13" s="108"/>
    </row>
    <row r="14" spans="1:30" ht="44.25" customHeight="1" thickBot="1" x14ac:dyDescent="0.25">
      <c r="A14" s="112">
        <v>0.02</v>
      </c>
      <c r="B14" s="112" t="s">
        <v>58</v>
      </c>
      <c r="C14" s="1160" t="s">
        <v>226</v>
      </c>
      <c r="D14" s="1161"/>
      <c r="E14" s="1161"/>
      <c r="F14" s="1162"/>
      <c r="G14" s="113" t="s">
        <v>249</v>
      </c>
      <c r="H14" s="114" t="s">
        <v>0</v>
      </c>
      <c r="I14" s="1360" t="s">
        <v>298</v>
      </c>
      <c r="J14" s="1358" t="s">
        <v>270</v>
      </c>
      <c r="K14" s="1360" t="s">
        <v>315</v>
      </c>
      <c r="L14" s="1287" t="s">
        <v>6</v>
      </c>
      <c r="M14" s="234" t="s">
        <v>299</v>
      </c>
      <c r="N14" s="67"/>
      <c r="O14" s="1256" t="s">
        <v>260</v>
      </c>
      <c r="P14" s="1257"/>
      <c r="Q14" s="120" t="s">
        <v>248</v>
      </c>
      <c r="R14" s="121"/>
      <c r="S14" s="690" t="s">
        <v>428</v>
      </c>
      <c r="T14" s="1287" t="s">
        <v>6</v>
      </c>
      <c r="U14" s="234" t="s">
        <v>299</v>
      </c>
      <c r="V14" s="228"/>
      <c r="W14" s="265" t="s">
        <v>256</v>
      </c>
      <c r="X14" s="1289" t="s">
        <v>61</v>
      </c>
      <c r="Y14" s="1291" t="s">
        <v>384</v>
      </c>
    </row>
    <row r="15" spans="1:30" ht="30.75" customHeight="1" thickBot="1" x14ac:dyDescent="0.25">
      <c r="A15" s="115"/>
      <c r="B15" s="115"/>
      <c r="C15" s="1163"/>
      <c r="D15" s="1164"/>
      <c r="E15" s="1164"/>
      <c r="F15" s="1165"/>
      <c r="G15" s="116"/>
      <c r="H15" s="116"/>
      <c r="I15" s="1361"/>
      <c r="J15" s="1359"/>
      <c r="K15" s="1361"/>
      <c r="L15" s="1288"/>
      <c r="M15" s="244" t="s">
        <v>42</v>
      </c>
      <c r="N15" s="68"/>
      <c r="O15" s="1254"/>
      <c r="P15" s="1255"/>
      <c r="Q15" s="245" t="s">
        <v>43</v>
      </c>
      <c r="R15" s="121"/>
      <c r="S15" s="246">
        <f>(S35-S31)/(I35-S31)</f>
        <v>0</v>
      </c>
      <c r="T15" s="1288"/>
      <c r="U15" s="244" t="s">
        <v>44</v>
      </c>
      <c r="V15" s="228"/>
      <c r="W15" s="298" t="s">
        <v>300</v>
      </c>
      <c r="X15" s="1290"/>
      <c r="Y15" s="1292"/>
    </row>
    <row r="16" spans="1:30" s="74" customFormat="1" ht="15.75" hidden="1" customHeight="1" thickTop="1" x14ac:dyDescent="0.2">
      <c r="A16" s="69" t="s">
        <v>8</v>
      </c>
      <c r="B16" s="195"/>
      <c r="C16" s="1226"/>
      <c r="D16" s="1226"/>
      <c r="E16" s="1226"/>
      <c r="F16" s="1226"/>
      <c r="G16" s="70"/>
      <c r="H16" s="71"/>
      <c r="I16" s="154"/>
      <c r="J16" s="162"/>
      <c r="K16" s="162"/>
      <c r="L16" s="162"/>
      <c r="M16" s="198"/>
      <c r="N16" s="164"/>
      <c r="O16" s="1271"/>
      <c r="P16" s="127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183"/>
      <c r="D17" s="1240"/>
      <c r="E17" s="1240"/>
      <c r="F17" s="1241"/>
      <c r="G17" s="76"/>
      <c r="H17" s="77"/>
      <c r="I17" s="156"/>
      <c r="J17" s="162"/>
      <c r="K17" s="162"/>
      <c r="L17" s="162"/>
      <c r="M17" s="167"/>
      <c r="N17" s="164"/>
      <c r="O17" s="1183"/>
      <c r="P17" s="1184"/>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226" t="s">
        <v>267</v>
      </c>
      <c r="D18" s="1226"/>
      <c r="E18" s="1226"/>
      <c r="F18" s="1226"/>
      <c r="G18" s="701" t="str">
        <f>IF(D9=0,"COUNTY","CITY")</f>
        <v>COUNTY</v>
      </c>
      <c r="H18" s="77" t="s">
        <v>51</v>
      </c>
      <c r="I18" s="156"/>
      <c r="J18" s="162"/>
      <c r="K18" s="162">
        <f>J42</f>
        <v>1.2</v>
      </c>
      <c r="L18" s="162">
        <f t="shared" ref="L18:L24" si="0">IF(A18="Y", K18*2%,0)</f>
        <v>2.4E-2</v>
      </c>
      <c r="M18" s="167">
        <f t="shared" ref="M18:M24" si="1">K18-L18</f>
        <v>1.1759999999999999</v>
      </c>
      <c r="N18" s="164"/>
      <c r="O18" s="1183"/>
      <c r="P18" s="1184"/>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355" t="s">
        <v>241</v>
      </c>
      <c r="C19" s="1172" t="s">
        <v>212</v>
      </c>
      <c r="D19" s="1172"/>
      <c r="E19" s="1172"/>
      <c r="F19" s="1172"/>
      <c r="G19" s="694" t="s">
        <v>32</v>
      </c>
      <c r="H19" s="77" t="s">
        <v>27</v>
      </c>
      <c r="I19" s="155">
        <f>(D10-SUM(I16:I18))*D8</f>
        <v>0</v>
      </c>
      <c r="J19" s="162">
        <f>I19*30%</f>
        <v>0</v>
      </c>
      <c r="K19" s="162">
        <f t="shared" ref="K19:K24" si="6">I19-J19</f>
        <v>0</v>
      </c>
      <c r="L19" s="162">
        <f t="shared" si="0"/>
        <v>0</v>
      </c>
      <c r="M19" s="167">
        <f t="shared" si="1"/>
        <v>0</v>
      </c>
      <c r="N19" s="164"/>
      <c r="O19" s="1183"/>
      <c r="P19" s="1184"/>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356"/>
      <c r="C20" s="1172" t="s">
        <v>213</v>
      </c>
      <c r="D20" s="1172"/>
      <c r="E20" s="1172"/>
      <c r="F20" s="1172"/>
      <c r="G20" s="694" t="s">
        <v>52</v>
      </c>
      <c r="H20" s="77" t="s">
        <v>25</v>
      </c>
      <c r="I20" s="155">
        <f>(D10-SUM(I16:I18))*D9</f>
        <v>0</v>
      </c>
      <c r="J20" s="162">
        <f>I20*30%</f>
        <v>0</v>
      </c>
      <c r="K20" s="162">
        <f t="shared" si="6"/>
        <v>0</v>
      </c>
      <c r="L20" s="162">
        <f t="shared" si="0"/>
        <v>0</v>
      </c>
      <c r="M20" s="167">
        <f t="shared" si="1"/>
        <v>0</v>
      </c>
      <c r="N20" s="164"/>
      <c r="O20" s="1183"/>
      <c r="P20" s="1184"/>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172" t="s">
        <v>546</v>
      </c>
      <c r="D21" s="1172"/>
      <c r="E21" s="1172"/>
      <c r="F21" s="1172"/>
      <c r="G21" s="694" t="s">
        <v>31</v>
      </c>
      <c r="H21" s="77" t="s">
        <v>26</v>
      </c>
      <c r="I21" s="155">
        <f>$D$11*B21</f>
        <v>0</v>
      </c>
      <c r="J21" s="162">
        <f>I21*30%</f>
        <v>0</v>
      </c>
      <c r="K21" s="162">
        <f t="shared" si="6"/>
        <v>0</v>
      </c>
      <c r="L21" s="162">
        <f t="shared" si="0"/>
        <v>0</v>
      </c>
      <c r="M21" s="167">
        <f t="shared" si="1"/>
        <v>0</v>
      </c>
      <c r="N21" s="164"/>
      <c r="O21" s="1183"/>
      <c r="P21" s="1184"/>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172" t="s">
        <v>547</v>
      </c>
      <c r="D22" s="1172"/>
      <c r="E22" s="1172"/>
      <c r="F22" s="1172"/>
      <c r="G22" s="694" t="s">
        <v>32</v>
      </c>
      <c r="H22" s="77" t="s">
        <v>27</v>
      </c>
      <c r="I22" s="155">
        <f>$D$11*B22</f>
        <v>0</v>
      </c>
      <c r="J22" s="162">
        <f>I22*30%</f>
        <v>0</v>
      </c>
      <c r="K22" s="162">
        <f t="shared" si="6"/>
        <v>0</v>
      </c>
      <c r="L22" s="162">
        <f t="shared" si="0"/>
        <v>0</v>
      </c>
      <c r="M22" s="167">
        <f t="shared" si="1"/>
        <v>0</v>
      </c>
      <c r="N22" s="164"/>
      <c r="O22" s="1183"/>
      <c r="P22" s="1184"/>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183" t="s">
        <v>216</v>
      </c>
      <c r="D23" s="1240"/>
      <c r="E23" s="1240"/>
      <c r="F23" s="1241"/>
      <c r="G23" s="694" t="s">
        <v>32</v>
      </c>
      <c r="H23" s="77" t="s">
        <v>55</v>
      </c>
      <c r="I23" s="155">
        <f>$D$11*B23</f>
        <v>0</v>
      </c>
      <c r="J23" s="162"/>
      <c r="K23" s="162">
        <f t="shared" si="6"/>
        <v>0</v>
      </c>
      <c r="L23" s="162">
        <f t="shared" si="0"/>
        <v>0</v>
      </c>
      <c r="M23" s="167">
        <f t="shared" si="1"/>
        <v>0</v>
      </c>
      <c r="N23" s="164"/>
      <c r="O23" s="1183"/>
      <c r="P23" s="1184"/>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183" t="s">
        <v>466</v>
      </c>
      <c r="D24" s="1240"/>
      <c r="E24" s="1240"/>
      <c r="F24" s="1241"/>
      <c r="G24" s="694" t="s">
        <v>31</v>
      </c>
      <c r="H24" s="77" t="s">
        <v>72</v>
      </c>
      <c r="I24" s="155">
        <f>$D$11*B24</f>
        <v>0</v>
      </c>
      <c r="J24" s="162"/>
      <c r="K24" s="162">
        <f t="shared" si="6"/>
        <v>0</v>
      </c>
      <c r="L24" s="162">
        <f t="shared" si="0"/>
        <v>0</v>
      </c>
      <c r="M24" s="167">
        <f t="shared" si="1"/>
        <v>0</v>
      </c>
      <c r="N24" s="164"/>
      <c r="O24" s="1183"/>
      <c r="P24" s="1184"/>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172" t="s">
        <v>217</v>
      </c>
      <c r="D25" s="1172"/>
      <c r="E25" s="1279" t="str">
        <f>IF(SUM(B25:B29)=Q11,"GC 76000 PA ($" &amp;Q11 &amp; " for every 10) breakdown per local board of supervisor resolution (BOS).","ERROR! GC 76000 PA total is not $" &amp;Q11&amp; ". Check Court's board resolution.")</f>
        <v>ERROR! GC 76000 PA total is not $7. Check Court's board resolution.</v>
      </c>
      <c r="F25" s="1280"/>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183"/>
      <c r="P25" s="1184"/>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172" t="s">
        <v>218</v>
      </c>
      <c r="D26" s="1172"/>
      <c r="E26" s="1281"/>
      <c r="F26" s="1282"/>
      <c r="G26" s="694" t="s">
        <v>32</v>
      </c>
      <c r="H26" s="77" t="s">
        <v>35</v>
      </c>
      <c r="I26" s="155">
        <f t="shared" si="7"/>
        <v>0</v>
      </c>
      <c r="J26" s="162">
        <f>I26*30%</f>
        <v>0</v>
      </c>
      <c r="K26" s="162">
        <f t="shared" si="8"/>
        <v>0</v>
      </c>
      <c r="L26" s="162">
        <f t="shared" si="9"/>
        <v>0</v>
      </c>
      <c r="M26" s="167">
        <f t="shared" si="10"/>
        <v>0</v>
      </c>
      <c r="N26" s="164"/>
      <c r="O26" s="1183"/>
      <c r="P26" s="1184"/>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172" t="s">
        <v>219</v>
      </c>
      <c r="D27" s="1172"/>
      <c r="E27" s="1281"/>
      <c r="F27" s="1282"/>
      <c r="G27" s="694" t="s">
        <v>32</v>
      </c>
      <c r="H27" s="77" t="s">
        <v>65</v>
      </c>
      <c r="I27" s="155">
        <f t="shared" si="7"/>
        <v>0</v>
      </c>
      <c r="J27" s="162">
        <f>I27*30%</f>
        <v>0</v>
      </c>
      <c r="K27" s="162">
        <f t="shared" si="8"/>
        <v>0</v>
      </c>
      <c r="L27" s="162">
        <f t="shared" si="9"/>
        <v>0</v>
      </c>
      <c r="M27" s="167">
        <f t="shared" si="10"/>
        <v>0</v>
      </c>
      <c r="N27" s="164"/>
      <c r="O27" s="1183"/>
      <c r="P27" s="1184"/>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172" t="s">
        <v>401</v>
      </c>
      <c r="D28" s="1172"/>
      <c r="E28" s="1281"/>
      <c r="F28" s="1282"/>
      <c r="G28" s="694" t="s">
        <v>32</v>
      </c>
      <c r="H28" s="77"/>
      <c r="I28" s="155">
        <f t="shared" si="7"/>
        <v>0</v>
      </c>
      <c r="J28" s="162">
        <f>I28*30%</f>
        <v>0</v>
      </c>
      <c r="K28" s="162">
        <f t="shared" si="8"/>
        <v>0</v>
      </c>
      <c r="L28" s="162">
        <f t="shared" si="9"/>
        <v>0</v>
      </c>
      <c r="M28" s="167">
        <f t="shared" si="10"/>
        <v>0</v>
      </c>
      <c r="N28" s="164"/>
      <c r="O28" s="1183"/>
      <c r="P28" s="1184"/>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172" t="s">
        <v>254</v>
      </c>
      <c r="D29" s="1172"/>
      <c r="E29" s="1283"/>
      <c r="F29" s="1284"/>
      <c r="G29" s="694" t="s">
        <v>32</v>
      </c>
      <c r="H29" s="77"/>
      <c r="I29" s="155">
        <f t="shared" si="7"/>
        <v>0</v>
      </c>
      <c r="J29" s="162">
        <f>I29*30%</f>
        <v>0</v>
      </c>
      <c r="K29" s="162">
        <f t="shared" si="8"/>
        <v>0</v>
      </c>
      <c r="L29" s="162">
        <f t="shared" si="9"/>
        <v>0</v>
      </c>
      <c r="M29" s="167">
        <f t="shared" si="10"/>
        <v>0</v>
      </c>
      <c r="N29" s="164"/>
      <c r="O29" s="1183"/>
      <c r="P29" s="1184"/>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154" t="s">
        <v>286</v>
      </c>
      <c r="D30" s="1155"/>
      <c r="E30" s="1155"/>
      <c r="F30" s="1232"/>
      <c r="G30" s="702" t="s">
        <v>32</v>
      </c>
      <c r="H30" s="84" t="s">
        <v>36</v>
      </c>
      <c r="I30" s="155">
        <f t="shared" si="7"/>
        <v>0</v>
      </c>
      <c r="J30" s="162"/>
      <c r="K30" s="162">
        <f t="shared" si="8"/>
        <v>0</v>
      </c>
      <c r="L30" s="162">
        <f t="shared" si="9"/>
        <v>0</v>
      </c>
      <c r="M30" s="167">
        <f t="shared" si="10"/>
        <v>0</v>
      </c>
      <c r="N30" s="164"/>
      <c r="O30" s="1183"/>
      <c r="P30" s="1184"/>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54" t="s">
        <v>385</v>
      </c>
      <c r="D31" s="1155"/>
      <c r="E31" s="1155"/>
      <c r="F31" s="1232"/>
      <c r="G31" s="702" t="s">
        <v>31</v>
      </c>
      <c r="H31" s="91" t="s">
        <v>39</v>
      </c>
      <c r="I31" s="204">
        <v>4</v>
      </c>
      <c r="J31" s="162">
        <f>I31*30%</f>
        <v>1.2</v>
      </c>
      <c r="K31" s="162">
        <f>I31-J31</f>
        <v>2.8</v>
      </c>
      <c r="L31" s="162">
        <f>IF(A31="Y", K31*2%,0)</f>
        <v>5.5999999999999994E-2</v>
      </c>
      <c r="M31" s="167">
        <f>K31-L31</f>
        <v>2.7439999999999998</v>
      </c>
      <c r="N31" s="164"/>
      <c r="O31" s="1183"/>
      <c r="P31" s="1184"/>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154" t="s">
        <v>555</v>
      </c>
      <c r="D32" s="1155"/>
      <c r="E32" s="1232"/>
      <c r="F32" s="1088" t="s">
        <v>281</v>
      </c>
      <c r="G32" s="702" t="s">
        <v>31</v>
      </c>
      <c r="H32" s="84" t="s">
        <v>37</v>
      </c>
      <c r="I32" s="155">
        <f>$D$11*B32</f>
        <v>0</v>
      </c>
      <c r="J32" s="162">
        <f>I32*30%</f>
        <v>0</v>
      </c>
      <c r="K32" s="162">
        <f>I32-J32</f>
        <v>0</v>
      </c>
      <c r="L32" s="162">
        <f>IF(A32="Y", K32*2%,0)</f>
        <v>0</v>
      </c>
      <c r="M32" s="167">
        <f>K32-L32</f>
        <v>0</v>
      </c>
      <c r="N32" s="164"/>
      <c r="O32" s="1183"/>
      <c r="P32" s="1184"/>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54" t="s">
        <v>556</v>
      </c>
      <c r="D33" s="1155"/>
      <c r="E33" s="1232"/>
      <c r="F33" s="1089"/>
      <c r="G33" s="702" t="s">
        <v>31</v>
      </c>
      <c r="H33" s="84" t="s">
        <v>197</v>
      </c>
      <c r="I33" s="155">
        <f>$D$11*B33</f>
        <v>0</v>
      </c>
      <c r="J33" s="162">
        <f>I33*30%</f>
        <v>0</v>
      </c>
      <c r="K33" s="162">
        <f>I33-J33</f>
        <v>0</v>
      </c>
      <c r="L33" s="162">
        <f>IF(A33="Y", K33*2%,0)</f>
        <v>0</v>
      </c>
      <c r="M33" s="167">
        <f>K33-L33</f>
        <v>0</v>
      </c>
      <c r="N33" s="164"/>
      <c r="O33" s="1183"/>
      <c r="P33" s="1184"/>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54" t="s">
        <v>220</v>
      </c>
      <c r="D34" s="1155"/>
      <c r="E34" s="1155"/>
      <c r="F34" s="1232"/>
      <c r="G34" s="702" t="s">
        <v>31</v>
      </c>
      <c r="H34" s="84" t="s">
        <v>10</v>
      </c>
      <c r="I34" s="155">
        <f>$D$10*20%</f>
        <v>0</v>
      </c>
      <c r="J34" s="162"/>
      <c r="K34" s="162">
        <f>I34-J34</f>
        <v>0</v>
      </c>
      <c r="L34" s="162">
        <f>IF(A34="Y", K34*2%,0)</f>
        <v>0</v>
      </c>
      <c r="M34" s="167">
        <f>K34-L34</f>
        <v>0</v>
      </c>
      <c r="N34" s="164"/>
      <c r="O34" s="1183"/>
      <c r="P34" s="1184"/>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229" t="s">
        <v>221</v>
      </c>
      <c r="D35" s="1230"/>
      <c r="E35" s="1230"/>
      <c r="F35" s="1231"/>
      <c r="G35" s="703"/>
      <c r="H35" s="88"/>
      <c r="I35" s="157">
        <f>SUM(I16:I34)</f>
        <v>4</v>
      </c>
      <c r="J35" s="277"/>
      <c r="K35" s="277">
        <f>SUM(K18:K34)</f>
        <v>4</v>
      </c>
      <c r="L35" s="162"/>
      <c r="M35" s="168">
        <f>SUM(M16:M34)</f>
        <v>3.92</v>
      </c>
      <c r="N35" s="165"/>
      <c r="O35" s="1154"/>
      <c r="P35" s="1239"/>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154" t="s">
        <v>419</v>
      </c>
      <c r="D36" s="1155"/>
      <c r="E36" s="1155"/>
      <c r="F36" s="1232"/>
      <c r="G36" s="702" t="s">
        <v>31</v>
      </c>
      <c r="H36" s="91"/>
      <c r="I36" s="204">
        <v>40</v>
      </c>
      <c r="J36" s="162"/>
      <c r="K36" s="162">
        <f>I36</f>
        <v>40</v>
      </c>
      <c r="L36" s="162">
        <f>IF(A36="Y", I36*2%,0)</f>
        <v>0</v>
      </c>
      <c r="M36" s="167">
        <f t="shared" ref="M36:M40" si="11">I36-L36</f>
        <v>40</v>
      </c>
      <c r="N36" s="164"/>
      <c r="O36" s="1183"/>
      <c r="P36" s="1184"/>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233" t="s">
        <v>259</v>
      </c>
      <c r="D37" s="1234"/>
      <c r="E37" s="1234"/>
      <c r="F37" s="1235"/>
      <c r="G37" s="704" t="s">
        <v>31</v>
      </c>
      <c r="H37" s="92" t="s">
        <v>197</v>
      </c>
      <c r="I37" s="204">
        <v>35</v>
      </c>
      <c r="J37" s="162"/>
      <c r="K37" s="162">
        <f t="shared" ref="K37:K40" si="14">I37</f>
        <v>35</v>
      </c>
      <c r="L37" s="162">
        <f t="shared" ref="L37:L40" si="15">IF(A37="Y", I37*2%,0)</f>
        <v>0</v>
      </c>
      <c r="M37" s="167">
        <f t="shared" si="11"/>
        <v>35</v>
      </c>
      <c r="N37" s="164"/>
      <c r="O37" s="1183"/>
      <c r="P37" s="1184"/>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233" t="s">
        <v>421</v>
      </c>
      <c r="D38" s="1234"/>
      <c r="E38" s="1234"/>
      <c r="F38" s="1235"/>
      <c r="G38" s="704" t="s">
        <v>230</v>
      </c>
      <c r="H38" s="92" t="s">
        <v>24</v>
      </c>
      <c r="I38" s="204"/>
      <c r="J38" s="162"/>
      <c r="K38" s="162">
        <f t="shared" si="14"/>
        <v>0</v>
      </c>
      <c r="L38" s="162">
        <f t="shared" si="15"/>
        <v>0</v>
      </c>
      <c r="M38" s="167">
        <f t="shared" si="11"/>
        <v>0</v>
      </c>
      <c r="N38" s="164"/>
      <c r="O38" s="1183"/>
      <c r="P38" s="1184"/>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154" t="s">
        <v>517</v>
      </c>
      <c r="D39" s="1155"/>
      <c r="E39" s="1155"/>
      <c r="F39" s="1232"/>
      <c r="G39" s="704" t="s">
        <v>230</v>
      </c>
      <c r="H39" s="92" t="s">
        <v>82</v>
      </c>
      <c r="I39" s="204"/>
      <c r="J39" s="162"/>
      <c r="K39" s="162">
        <f t="shared" si="14"/>
        <v>0</v>
      </c>
      <c r="L39" s="162">
        <f t="shared" si="15"/>
        <v>0</v>
      </c>
      <c r="M39" s="167">
        <f t="shared" si="11"/>
        <v>0</v>
      </c>
      <c r="N39" s="164"/>
      <c r="O39" s="1183"/>
      <c r="P39" s="1184"/>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233" t="s">
        <v>225</v>
      </c>
      <c r="D40" s="1234"/>
      <c r="E40" s="1234"/>
      <c r="F40" s="1235"/>
      <c r="G40" s="704" t="s">
        <v>31</v>
      </c>
      <c r="H40" s="92" t="s">
        <v>80</v>
      </c>
      <c r="I40" s="204"/>
      <c r="J40" s="162"/>
      <c r="K40" s="162">
        <f t="shared" si="14"/>
        <v>0</v>
      </c>
      <c r="L40" s="162">
        <f t="shared" si="15"/>
        <v>0</v>
      </c>
      <c r="M40" s="167">
        <f t="shared" si="11"/>
        <v>0</v>
      </c>
      <c r="N40" s="164"/>
      <c r="O40" s="1183"/>
      <c r="P40" s="1184"/>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183" t="s">
        <v>492</v>
      </c>
      <c r="D41" s="1240"/>
      <c r="E41" s="1240"/>
      <c r="F41" s="1241"/>
      <c r="G41" s="705" t="s">
        <v>31</v>
      </c>
      <c r="H41" s="96" t="s">
        <v>41</v>
      </c>
      <c r="I41" s="97"/>
      <c r="J41" s="163"/>
      <c r="K41" s="163"/>
      <c r="L41" s="163"/>
      <c r="M41" s="169">
        <f>L42</f>
        <v>7.9999999999999988E-2</v>
      </c>
      <c r="N41" s="164"/>
      <c r="O41" s="1183"/>
      <c r="P41" s="1184"/>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276" t="s">
        <v>61</v>
      </c>
      <c r="B44" s="1276"/>
      <c r="C44" s="1276"/>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273"/>
      <c r="C45" s="1274"/>
      <c r="D45" s="1274"/>
      <c r="E45" s="1274"/>
      <c r="F45" s="1274"/>
      <c r="G45" s="1274"/>
      <c r="H45" s="1274"/>
      <c r="I45" s="1274"/>
      <c r="J45" s="1274"/>
      <c r="K45" s="1274"/>
      <c r="L45" s="1274"/>
      <c r="M45" s="1274"/>
      <c r="N45" s="1274"/>
      <c r="O45" s="1274"/>
      <c r="P45" s="1274"/>
      <c r="Q45" s="1274"/>
      <c r="R45" s="1274"/>
      <c r="S45" s="1274"/>
      <c r="T45" s="1274"/>
      <c r="U45" s="1274"/>
      <c r="V45" s="1274"/>
      <c r="W45" s="1274"/>
      <c r="X45" s="1274"/>
      <c r="Y45" s="1275"/>
    </row>
    <row r="46" spans="1:30" s="141" customFormat="1" ht="18" customHeight="1" x14ac:dyDescent="0.2">
      <c r="A46" s="769">
        <v>2</v>
      </c>
      <c r="B46" s="1273"/>
      <c r="C46" s="1274"/>
      <c r="D46" s="1274"/>
      <c r="E46" s="1274"/>
      <c r="F46" s="1274"/>
      <c r="G46" s="1274"/>
      <c r="H46" s="1274"/>
      <c r="I46" s="1274"/>
      <c r="J46" s="1274"/>
      <c r="K46" s="1274"/>
      <c r="L46" s="1274"/>
      <c r="M46" s="1274"/>
      <c r="N46" s="1274"/>
      <c r="O46" s="1274"/>
      <c r="P46" s="1274"/>
      <c r="Q46" s="1274"/>
      <c r="R46" s="1274"/>
      <c r="S46" s="1274"/>
      <c r="T46" s="1274"/>
      <c r="U46" s="1274"/>
      <c r="V46" s="1274"/>
      <c r="W46" s="1274"/>
      <c r="X46" s="1274"/>
      <c r="Y46" s="1275"/>
    </row>
    <row r="47" spans="1:30" s="141" customFormat="1" ht="18" customHeight="1" x14ac:dyDescent="0.2">
      <c r="A47" s="769">
        <v>3</v>
      </c>
      <c r="B47" s="1273"/>
      <c r="C47" s="1274"/>
      <c r="D47" s="1274"/>
      <c r="E47" s="1274"/>
      <c r="F47" s="1274"/>
      <c r="G47" s="1274"/>
      <c r="H47" s="1274"/>
      <c r="I47" s="1274"/>
      <c r="J47" s="1274"/>
      <c r="K47" s="1274"/>
      <c r="L47" s="1274"/>
      <c r="M47" s="1274"/>
      <c r="N47" s="1274"/>
      <c r="O47" s="1274"/>
      <c r="P47" s="1274"/>
      <c r="Q47" s="1274"/>
      <c r="R47" s="1274"/>
      <c r="S47" s="1274"/>
      <c r="T47" s="1274"/>
      <c r="U47" s="1274"/>
      <c r="V47" s="1274"/>
      <c r="W47" s="1274"/>
      <c r="X47" s="1274"/>
      <c r="Y47" s="1275"/>
    </row>
    <row r="48" spans="1:30" s="54" customFormat="1" ht="21" customHeight="1" x14ac:dyDescent="0.2">
      <c r="A48" s="769">
        <v>4</v>
      </c>
      <c r="B48" s="1273"/>
      <c r="C48" s="1274"/>
      <c r="D48" s="1274"/>
      <c r="E48" s="1274"/>
      <c r="F48" s="1274"/>
      <c r="G48" s="1274"/>
      <c r="H48" s="1274"/>
      <c r="I48" s="1274"/>
      <c r="J48" s="1274"/>
      <c r="K48" s="1274"/>
      <c r="L48" s="1274"/>
      <c r="M48" s="1274"/>
      <c r="N48" s="1274"/>
      <c r="O48" s="1274"/>
      <c r="P48" s="1274"/>
      <c r="Q48" s="1274"/>
      <c r="R48" s="1274"/>
      <c r="S48" s="1274"/>
      <c r="T48" s="1274"/>
      <c r="U48" s="1274"/>
      <c r="V48" s="1274"/>
      <c r="W48" s="1274"/>
      <c r="X48" s="1274"/>
      <c r="Y48" s="1275"/>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32" priority="18" stopIfTrue="1" operator="equal">
      <formula>0</formula>
    </cfRule>
  </conditionalFormatting>
  <conditionalFormatting sqref="W12:X13 W44:X44 W49:X65532">
    <cfRule type="cellIs" dxfId="131" priority="16" stopIfTrue="1" operator="notEqual">
      <formula>0</formula>
    </cfRule>
  </conditionalFormatting>
  <conditionalFormatting sqref="I16:I18">
    <cfRule type="cellIs" dxfId="130" priority="14" stopIfTrue="1" operator="equal">
      <formula>0</formula>
    </cfRule>
  </conditionalFormatting>
  <conditionalFormatting sqref="O16:Q41">
    <cfRule type="expression" dxfId="129" priority="12">
      <formula>MOD(ROW(),2)=0</formula>
    </cfRule>
  </conditionalFormatting>
  <conditionalFormatting sqref="I18:I30 I32:I35 J18:M41">
    <cfRule type="cellIs" dxfId="128" priority="11" operator="equal">
      <formula>0</formula>
    </cfRule>
  </conditionalFormatting>
  <conditionalFormatting sqref="X18:X41">
    <cfRule type="cellIs" dxfId="127" priority="2" operator="greaterThan">
      <formula>0</formula>
    </cfRule>
  </conditionalFormatting>
  <conditionalFormatting sqref="E25">
    <cfRule type="cellIs" dxfId="126"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051" t="s">
        <v>361</v>
      </c>
      <c r="G3" s="1052"/>
      <c r="H3" s="1053"/>
    </row>
    <row r="4" spans="1:8" s="2" customFormat="1" ht="25.5" x14ac:dyDescent="0.2">
      <c r="A4" s="42" t="s">
        <v>173</v>
      </c>
      <c r="B4" s="42" t="s">
        <v>9</v>
      </c>
      <c r="C4" s="42" t="s">
        <v>176</v>
      </c>
      <c r="D4" s="42" t="s">
        <v>177</v>
      </c>
      <c r="E4" s="493" t="s">
        <v>206</v>
      </c>
      <c r="F4" s="1054"/>
      <c r="G4" s="1055"/>
      <c r="H4" s="1056"/>
    </row>
    <row r="5" spans="1:8" s="1" customFormat="1" ht="25.5" x14ac:dyDescent="0.2">
      <c r="A5" s="41" t="s">
        <v>172</v>
      </c>
      <c r="B5" s="41" t="s">
        <v>174</v>
      </c>
      <c r="C5" s="41" t="s">
        <v>369</v>
      </c>
      <c r="D5" s="41" t="s">
        <v>178</v>
      </c>
      <c r="E5" s="494" t="s">
        <v>180</v>
      </c>
      <c r="F5" s="1054"/>
      <c r="G5" s="1055"/>
      <c r="H5" s="1056"/>
    </row>
    <row r="6" spans="1:8" s="1" customFormat="1" ht="39" thickBot="1" x14ac:dyDescent="0.25">
      <c r="A6" s="41" t="s">
        <v>181</v>
      </c>
      <c r="B6" s="41" t="s">
        <v>182</v>
      </c>
      <c r="C6" s="41" t="s">
        <v>183</v>
      </c>
      <c r="D6" s="41" t="s">
        <v>192</v>
      </c>
      <c r="E6" s="495" t="s">
        <v>207</v>
      </c>
      <c r="F6" s="1057"/>
      <c r="G6" s="1058"/>
      <c r="H6" s="1059"/>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87" t="s">
        <v>433</v>
      </c>
      <c r="B1" s="1188"/>
      <c r="C1" s="1188"/>
      <c r="D1" s="1188"/>
      <c r="E1" s="1188"/>
      <c r="F1" s="1188"/>
      <c r="G1" s="1188"/>
      <c r="H1" s="1188"/>
      <c r="I1" s="1188"/>
      <c r="J1" s="1188"/>
      <c r="K1" s="1188"/>
      <c r="L1" s="1188"/>
      <c r="M1" s="1188"/>
      <c r="N1" s="1185"/>
      <c r="O1" s="1185"/>
      <c r="P1" s="1185"/>
      <c r="Q1" s="1185"/>
      <c r="R1" s="1185"/>
      <c r="S1" s="1185"/>
      <c r="T1" s="1185"/>
      <c r="U1" s="1185"/>
      <c r="V1" s="1185"/>
      <c r="W1" s="1185"/>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14"/>
      <c r="P3" s="1415"/>
      <c r="Q3" s="786"/>
      <c r="R3" s="283"/>
      <c r="S3" s="1342" t="s">
        <v>261</v>
      </c>
      <c r="T3" s="1343"/>
      <c r="U3" s="1343"/>
      <c r="V3" s="1343"/>
      <c r="W3" s="1343"/>
      <c r="X3" s="1343"/>
      <c r="Y3" s="1344"/>
      <c r="AA3" s="174" t="s">
        <v>250</v>
      </c>
      <c r="AB3" s="132"/>
    </row>
    <row r="4" spans="1:30" s="57" customFormat="1" ht="15.75" x14ac:dyDescent="0.2">
      <c r="A4" s="1202" t="s">
        <v>231</v>
      </c>
      <c r="B4" s="1199"/>
      <c r="C4" s="1199"/>
      <c r="D4" s="1203">
        <f>N1</f>
        <v>0</v>
      </c>
      <c r="E4" s="1204"/>
      <c r="F4" s="1378" t="s">
        <v>28</v>
      </c>
      <c r="G4" s="1373"/>
      <c r="H4" s="187"/>
      <c r="I4" s="1224"/>
      <c r="J4" s="1379"/>
      <c r="K4" s="1379"/>
      <c r="L4" s="1379"/>
      <c r="M4" s="1379"/>
      <c r="N4" s="1225"/>
      <c r="O4" s="1348" t="s">
        <v>257</v>
      </c>
      <c r="P4" s="1348"/>
      <c r="Q4" s="209"/>
      <c r="R4" s="284"/>
      <c r="S4" s="1349" t="s">
        <v>236</v>
      </c>
      <c r="T4" s="1350"/>
      <c r="U4" s="1350"/>
      <c r="V4" s="1350"/>
      <c r="W4" s="1350"/>
      <c r="X4" s="1350"/>
      <c r="Y4" s="1351"/>
      <c r="AA4" s="271" t="s">
        <v>308</v>
      </c>
      <c r="AB4" s="269" t="s">
        <v>309</v>
      </c>
      <c r="AC4" s="269" t="s">
        <v>310</v>
      </c>
    </row>
    <row r="5" spans="1:30" s="57" customFormat="1" ht="15.75" x14ac:dyDescent="0.2">
      <c r="A5" s="1200" t="s">
        <v>4</v>
      </c>
      <c r="B5" s="1201"/>
      <c r="C5" s="1201"/>
      <c r="D5" s="1221"/>
      <c r="E5" s="1193"/>
      <c r="F5" s="1371" t="s">
        <v>244</v>
      </c>
      <c r="G5" s="1338"/>
      <c r="H5" s="185"/>
      <c r="I5" s="1158"/>
      <c r="J5" s="1357"/>
      <c r="K5" s="1357"/>
      <c r="L5" s="1357"/>
      <c r="M5" s="1357"/>
      <c r="N5" s="1159"/>
      <c r="O5" s="1338" t="s">
        <v>22</v>
      </c>
      <c r="P5" s="1338"/>
      <c r="Q5" s="58"/>
      <c r="R5" s="284"/>
      <c r="S5" s="1339" t="s">
        <v>302</v>
      </c>
      <c r="T5" s="1340"/>
      <c r="U5" s="1340"/>
      <c r="V5" s="1340"/>
      <c r="W5" s="1340"/>
      <c r="X5" s="1340"/>
      <c r="Y5" s="1341"/>
      <c r="AA5" s="172" t="s">
        <v>31</v>
      </c>
      <c r="AB5" s="176">
        <f>SUMIF($G$17:$G$46,"STATE",$M$17:$M$46)</f>
        <v>105.78999999999999</v>
      </c>
      <c r="AC5" s="176">
        <f>SUMIF($G$17:$G$46,"STATE",$U$17:$U$46)</f>
        <v>0</v>
      </c>
    </row>
    <row r="6" spans="1:30" s="57" customFormat="1" ht="16.5" thickBot="1" x14ac:dyDescent="0.25">
      <c r="A6" s="1200" t="s">
        <v>12</v>
      </c>
      <c r="B6" s="1201"/>
      <c r="C6" s="1201"/>
      <c r="D6" s="1221"/>
      <c r="E6" s="1333"/>
      <c r="F6" s="1371" t="s">
        <v>20</v>
      </c>
      <c r="G6" s="1338"/>
      <c r="H6" s="185"/>
      <c r="I6" s="1158" t="s">
        <v>317</v>
      </c>
      <c r="J6" s="1357"/>
      <c r="K6" s="1357"/>
      <c r="L6" s="1357"/>
      <c r="M6" s="1357"/>
      <c r="N6" s="1159"/>
      <c r="O6" s="1334" t="s">
        <v>233</v>
      </c>
      <c r="P6" s="1334"/>
      <c r="Q6" s="212">
        <f>Q4+Q5*10</f>
        <v>0</v>
      </c>
      <c r="R6" s="284"/>
      <c r="S6" s="1335" t="s">
        <v>573</v>
      </c>
      <c r="T6" s="1336"/>
      <c r="U6" s="1336"/>
      <c r="V6" s="1336"/>
      <c r="W6" s="1336"/>
      <c r="X6" s="1336"/>
      <c r="Y6" s="1337"/>
      <c r="AA6" s="172" t="s">
        <v>32</v>
      </c>
      <c r="AB6" s="176">
        <f>SUMIF($G$17:$G$46,"COUNTY",$M$17:$M$46)</f>
        <v>25.209999999999997</v>
      </c>
      <c r="AC6" s="176">
        <f>SUMIF($G$17:$G$46,"COUNTY",$U$17:$U$46)</f>
        <v>0</v>
      </c>
    </row>
    <row r="7" spans="1:30" s="57" customFormat="1" ht="16.5" thickBot="1" x14ac:dyDescent="0.25">
      <c r="A7" s="1200" t="s">
        <v>5</v>
      </c>
      <c r="B7" s="1201"/>
      <c r="C7" s="1201"/>
      <c r="D7" s="1158"/>
      <c r="E7" s="1193"/>
      <c r="F7" s="1362" t="s">
        <v>21</v>
      </c>
      <c r="G7" s="1363"/>
      <c r="H7" s="186"/>
      <c r="I7" s="1156" t="s">
        <v>66</v>
      </c>
      <c r="J7" s="1157"/>
      <c r="K7" s="1157"/>
      <c r="L7" s="1157"/>
      <c r="M7" s="1157"/>
      <c r="N7" s="1380"/>
      <c r="O7" s="235"/>
      <c r="P7" s="242"/>
      <c r="Q7" s="236"/>
      <c r="R7" s="284"/>
      <c r="S7" s="1323" t="s">
        <v>235</v>
      </c>
      <c r="T7" s="1324"/>
      <c r="U7" s="1324"/>
      <c r="V7" s="1324"/>
      <c r="W7" s="1324"/>
      <c r="X7" s="1324"/>
      <c r="Y7" s="1325"/>
      <c r="AA7" s="172" t="s">
        <v>52</v>
      </c>
      <c r="AB7" s="176">
        <f>SUMIF($G$17:$G$46,"CITY",$M$17:$M$46)</f>
        <v>0</v>
      </c>
      <c r="AC7" s="176">
        <f>SUMIF($G$17:$G$46,"CITY",$U$17:$U$46)</f>
        <v>0</v>
      </c>
    </row>
    <row r="8" spans="1:30" s="57" customFormat="1" ht="15.75" customHeight="1" x14ac:dyDescent="0.2">
      <c r="A8" s="1326" t="s">
        <v>54</v>
      </c>
      <c r="B8" s="1327"/>
      <c r="C8" s="1327"/>
      <c r="D8" s="1328">
        <v>1</v>
      </c>
      <c r="E8" s="1372"/>
      <c r="F8" s="1378" t="s">
        <v>253</v>
      </c>
      <c r="G8" s="1373"/>
      <c r="H8" s="187"/>
      <c r="I8" s="1381"/>
      <c r="J8" s="1382"/>
      <c r="K8" s="1382"/>
      <c r="L8" s="1382"/>
      <c r="M8" s="1382"/>
      <c r="N8" s="1383"/>
      <c r="O8" s="1373" t="s">
        <v>257</v>
      </c>
      <c r="P8" s="1373"/>
      <c r="Q8" s="55"/>
      <c r="R8" s="285"/>
      <c r="S8" s="1314" t="s">
        <v>303</v>
      </c>
      <c r="T8" s="1266"/>
      <c r="U8" s="1266"/>
      <c r="V8" s="1266"/>
      <c r="W8" s="1266"/>
      <c r="X8" s="1266"/>
      <c r="Y8" s="1315"/>
      <c r="AA8" s="172" t="s">
        <v>230</v>
      </c>
      <c r="AB8" s="176">
        <f>SUMIF($G$17:$G$46,"COURT",$M$17:$M$46)</f>
        <v>0</v>
      </c>
      <c r="AC8" s="176">
        <f>SUMIF($G$17:$G$46,"COURT",$U$17:$U$46)</f>
        <v>0</v>
      </c>
    </row>
    <row r="9" spans="1:30" s="57" customFormat="1" ht="18" customHeight="1" thickBot="1" x14ac:dyDescent="0.25">
      <c r="A9" s="1318" t="s">
        <v>53</v>
      </c>
      <c r="B9" s="1319"/>
      <c r="C9" s="1319"/>
      <c r="D9" s="1189">
        <f>100%-D8</f>
        <v>0</v>
      </c>
      <c r="E9" s="1190"/>
      <c r="F9" s="1371" t="s">
        <v>244</v>
      </c>
      <c r="G9" s="1338"/>
      <c r="H9" s="185"/>
      <c r="I9" s="1384"/>
      <c r="J9" s="1385"/>
      <c r="K9" s="1385"/>
      <c r="L9" s="1385"/>
      <c r="M9" s="1385"/>
      <c r="N9" s="1386"/>
      <c r="O9" s="1338" t="s">
        <v>22</v>
      </c>
      <c r="P9" s="1338"/>
      <c r="Q9" s="58"/>
      <c r="R9" s="285"/>
      <c r="S9" s="1316"/>
      <c r="T9" s="1269"/>
      <c r="U9" s="1269"/>
      <c r="V9" s="1269"/>
      <c r="W9" s="1269"/>
      <c r="X9" s="1269"/>
      <c r="Y9" s="1317"/>
      <c r="AA9" s="153" t="s">
        <v>446</v>
      </c>
      <c r="AB9" s="176">
        <f>SUMIF($G$17:$G$46,"CNTY or CTY",$M$17:$M$46)</f>
        <v>0</v>
      </c>
      <c r="AC9" s="176">
        <f>SUMIF($G$17:$G$46,"CNTY or CTY",$U$17:$U$46)</f>
        <v>0</v>
      </c>
    </row>
    <row r="10" spans="1:30" s="57" customFormat="1" ht="16.5" customHeight="1" thickBot="1" x14ac:dyDescent="0.25">
      <c r="A10" s="1152" t="s">
        <v>276</v>
      </c>
      <c r="B10" s="1153"/>
      <c r="C10" s="1153"/>
      <c r="D10" s="1148">
        <f>Q6+Q10</f>
        <v>0</v>
      </c>
      <c r="E10" s="1149"/>
      <c r="F10" s="1371" t="s">
        <v>20</v>
      </c>
      <c r="G10" s="1338"/>
      <c r="H10" s="185"/>
      <c r="I10" s="1384"/>
      <c r="J10" s="1385"/>
      <c r="K10" s="1385"/>
      <c r="L10" s="1385"/>
      <c r="M10" s="1385"/>
      <c r="N10" s="1386"/>
      <c r="O10" s="1334" t="s">
        <v>233</v>
      </c>
      <c r="P10" s="1334"/>
      <c r="Q10" s="212">
        <f>Q8+Q9*10</f>
        <v>0</v>
      </c>
      <c r="R10" s="286"/>
      <c r="S10" s="1311" t="s">
        <v>239</v>
      </c>
      <c r="T10" s="1312"/>
      <c r="U10" s="1312"/>
      <c r="V10" s="1312"/>
      <c r="W10" s="1312"/>
      <c r="X10" s="1312"/>
      <c r="Y10" s="1313"/>
      <c r="AA10" s="498" t="s">
        <v>246</v>
      </c>
      <c r="AB10" s="148">
        <f>SUM(AB5:AB9)</f>
        <v>131</v>
      </c>
      <c r="AC10" s="148">
        <f>SUM(AC5:AC9)</f>
        <v>0</v>
      </c>
    </row>
    <row r="11" spans="1:30" s="57" customFormat="1" ht="16.5" customHeight="1" thickBot="1" x14ac:dyDescent="0.25">
      <c r="A11" s="1150" t="s">
        <v>277</v>
      </c>
      <c r="B11" s="1151"/>
      <c r="C11" s="1151"/>
      <c r="D11" s="1146">
        <f>ROUNDUP(D10/10,0)</f>
        <v>0</v>
      </c>
      <c r="E11" s="1147"/>
      <c r="F11" s="1362" t="s">
        <v>21</v>
      </c>
      <c r="G11" s="1363"/>
      <c r="H11" s="186"/>
      <c r="I11" s="1411"/>
      <c r="J11" s="1412"/>
      <c r="K11" s="1412"/>
      <c r="L11" s="1412"/>
      <c r="M11" s="1412"/>
      <c r="N11" s="1413"/>
      <c r="O11" s="1416" t="s">
        <v>568</v>
      </c>
      <c r="P11" s="1417"/>
      <c r="Q11" s="780">
        <f>'1-DUI (Reduce Base)'!P11</f>
        <v>7</v>
      </c>
      <c r="R11" s="286"/>
      <c r="S11" s="1296" t="s">
        <v>430</v>
      </c>
      <c r="T11" s="1297"/>
      <c r="U11" s="1297"/>
      <c r="V11" s="1297"/>
      <c r="W11" s="1297"/>
      <c r="X11" s="1297"/>
      <c r="Y11" s="1298"/>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299" t="s">
        <v>297</v>
      </c>
      <c r="L13" s="1300"/>
      <c r="M13" s="1300"/>
      <c r="N13" s="110"/>
      <c r="O13" s="1302" t="s">
        <v>229</v>
      </c>
      <c r="P13" s="1303"/>
      <c r="Q13" s="1304"/>
      <c r="R13" s="111"/>
      <c r="S13" s="1299" t="s">
        <v>295</v>
      </c>
      <c r="T13" s="1300"/>
      <c r="U13" s="1301"/>
      <c r="V13" s="226"/>
      <c r="W13" s="158"/>
      <c r="X13" s="158"/>
      <c r="Y13" s="159"/>
      <c r="Z13" s="108"/>
      <c r="AA13" s="108"/>
      <c r="AB13" s="108"/>
      <c r="AC13" s="108"/>
      <c r="AD13" s="108"/>
    </row>
    <row r="14" spans="1:30" ht="40.5" customHeight="1" thickBot="1" x14ac:dyDescent="0.25">
      <c r="A14" s="1389" t="s">
        <v>7</v>
      </c>
      <c r="B14" s="1392" t="s">
        <v>58</v>
      </c>
      <c r="C14" s="1287" t="s">
        <v>226</v>
      </c>
      <c r="D14" s="1287"/>
      <c r="E14" s="1287"/>
      <c r="F14" s="1287"/>
      <c r="G14" s="1396" t="s">
        <v>249</v>
      </c>
      <c r="H14" s="505" t="s">
        <v>0</v>
      </c>
      <c r="I14" s="1360" t="s">
        <v>298</v>
      </c>
      <c r="J14" s="1358" t="s">
        <v>273</v>
      </c>
      <c r="K14" s="1360" t="s">
        <v>315</v>
      </c>
      <c r="L14" s="1287" t="s">
        <v>6</v>
      </c>
      <c r="M14" s="1403" t="s">
        <v>402</v>
      </c>
      <c r="N14" s="67"/>
      <c r="O14" s="1256" t="s">
        <v>260</v>
      </c>
      <c r="P14" s="1257"/>
      <c r="Q14" s="1409" t="s">
        <v>248</v>
      </c>
      <c r="R14" s="121"/>
      <c r="S14" s="690" t="s">
        <v>428</v>
      </c>
      <c r="T14" s="1287" t="s">
        <v>6</v>
      </c>
      <c r="U14" s="504" t="s">
        <v>299</v>
      </c>
      <c r="V14" s="228"/>
      <c r="W14" s="295" t="s">
        <v>256</v>
      </c>
      <c r="X14" s="1289" t="s">
        <v>61</v>
      </c>
      <c r="Y14" s="1291" t="s">
        <v>384</v>
      </c>
    </row>
    <row r="15" spans="1:30" ht="14.25" customHeight="1" thickBot="1" x14ac:dyDescent="0.25">
      <c r="A15" s="1390"/>
      <c r="B15" s="1393"/>
      <c r="C15" s="1395"/>
      <c r="D15" s="1395"/>
      <c r="E15" s="1395"/>
      <c r="F15" s="1395"/>
      <c r="G15" s="1397"/>
      <c r="H15" s="506"/>
      <c r="I15" s="1399"/>
      <c r="J15" s="1400"/>
      <c r="K15" s="1399"/>
      <c r="L15" s="1395"/>
      <c r="M15" s="1404"/>
      <c r="N15" s="68"/>
      <c r="O15" s="1405"/>
      <c r="P15" s="1406"/>
      <c r="Q15" s="1410"/>
      <c r="R15" s="121"/>
      <c r="S15" s="256">
        <f>(S36-S32)/(M36-M32)</f>
        <v>0</v>
      </c>
      <c r="T15" s="1288"/>
      <c r="U15" s="244" t="s">
        <v>44</v>
      </c>
      <c r="V15" s="228"/>
      <c r="W15" s="1401" t="s">
        <v>300</v>
      </c>
      <c r="X15" s="1387"/>
      <c r="Y15" s="1388"/>
    </row>
    <row r="16" spans="1:30" ht="18.75" customHeight="1" thickBot="1" x14ac:dyDescent="0.25">
      <c r="A16" s="1391"/>
      <c r="B16" s="1394"/>
      <c r="C16" s="1288"/>
      <c r="D16" s="1288"/>
      <c r="E16" s="1288"/>
      <c r="F16" s="1288"/>
      <c r="G16" s="1398"/>
      <c r="H16" s="507"/>
      <c r="I16" s="1361"/>
      <c r="J16" s="1359"/>
      <c r="K16" s="502"/>
      <c r="L16" s="501"/>
      <c r="M16" s="294" t="s">
        <v>42</v>
      </c>
      <c r="N16" s="68"/>
      <c r="O16" s="1407"/>
      <c r="P16" s="1408"/>
      <c r="Q16" s="245" t="s">
        <v>43</v>
      </c>
      <c r="R16" s="121"/>
      <c r="S16" s="296" t="s">
        <v>44</v>
      </c>
      <c r="T16" s="260"/>
      <c r="U16" s="287"/>
      <c r="V16" s="228"/>
      <c r="W16" s="1402"/>
      <c r="X16" s="1290"/>
      <c r="Y16" s="1292"/>
    </row>
    <row r="17" spans="1:30" s="74" customFormat="1" ht="15.75" hidden="1" customHeight="1" thickTop="1" x14ac:dyDescent="0.2">
      <c r="A17" s="69" t="s">
        <v>7</v>
      </c>
      <c r="B17" s="262"/>
      <c r="C17" s="1226"/>
      <c r="D17" s="1226"/>
      <c r="E17" s="1226"/>
      <c r="F17" s="1226"/>
      <c r="G17" s="70"/>
      <c r="H17" s="71"/>
      <c r="I17" s="154"/>
      <c r="J17" s="162"/>
      <c r="K17" s="162"/>
      <c r="L17" s="162"/>
      <c r="M17" s="225"/>
      <c r="N17" s="164"/>
      <c r="O17" s="1271"/>
      <c r="P17" s="1272"/>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183"/>
      <c r="D18" s="1240"/>
      <c r="E18" s="1240"/>
      <c r="F18" s="1241"/>
      <c r="G18" s="76"/>
      <c r="H18" s="77"/>
      <c r="I18" s="156"/>
      <c r="J18" s="162"/>
      <c r="K18" s="162"/>
      <c r="L18" s="162"/>
      <c r="M18" s="774"/>
      <c r="N18" s="164"/>
      <c r="O18" s="1183"/>
      <c r="P18" s="1184"/>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226" t="s">
        <v>272</v>
      </c>
      <c r="D19" s="1226"/>
      <c r="E19" s="1226"/>
      <c r="F19" s="1226"/>
      <c r="G19" s="701" t="str">
        <f>IF(D9=0,"COUNTY","CITY")</f>
        <v>COUNTY</v>
      </c>
      <c r="H19" s="77" t="s">
        <v>51</v>
      </c>
      <c r="I19" s="156"/>
      <c r="J19" s="162"/>
      <c r="K19" s="162">
        <f>J47</f>
        <v>1.2</v>
      </c>
      <c r="L19" s="162">
        <f t="shared" ref="L19:L31" si="0">IF(A19="Y", K19*2%,0)</f>
        <v>0</v>
      </c>
      <c r="M19" s="166">
        <f t="shared" ref="M19:M34" si="1">K19-L19</f>
        <v>1.2</v>
      </c>
      <c r="N19" s="164"/>
      <c r="O19" s="1183"/>
      <c r="P19" s="1184"/>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355" t="s">
        <v>241</v>
      </c>
      <c r="C20" s="1172" t="s">
        <v>212</v>
      </c>
      <c r="D20" s="1172"/>
      <c r="E20" s="1172"/>
      <c r="F20" s="1172"/>
      <c r="G20" s="694" t="s">
        <v>32</v>
      </c>
      <c r="H20" s="77" t="s">
        <v>27</v>
      </c>
      <c r="I20" s="155">
        <f>(D10-SUM(I17:I19))*D8</f>
        <v>0</v>
      </c>
      <c r="J20" s="162">
        <f>I20*30%</f>
        <v>0</v>
      </c>
      <c r="K20" s="162">
        <f t="shared" ref="K20:K35" si="6">I20-J20</f>
        <v>0</v>
      </c>
      <c r="L20" s="162">
        <f t="shared" si="0"/>
        <v>0</v>
      </c>
      <c r="M20" s="167">
        <f t="shared" si="1"/>
        <v>0</v>
      </c>
      <c r="N20" s="164"/>
      <c r="O20" s="1183"/>
      <c r="P20" s="1184"/>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356"/>
      <c r="C21" s="1172" t="s">
        <v>213</v>
      </c>
      <c r="D21" s="1172"/>
      <c r="E21" s="1172"/>
      <c r="F21" s="1172"/>
      <c r="G21" s="694" t="s">
        <v>52</v>
      </c>
      <c r="H21" s="77" t="s">
        <v>25</v>
      </c>
      <c r="I21" s="155">
        <f>(D10-SUM(I17:I19))*D9</f>
        <v>0</v>
      </c>
      <c r="J21" s="162">
        <f>I21*30%</f>
        <v>0</v>
      </c>
      <c r="K21" s="162">
        <f t="shared" si="6"/>
        <v>0</v>
      </c>
      <c r="L21" s="162">
        <f t="shared" si="0"/>
        <v>0</v>
      </c>
      <c r="M21" s="167">
        <f t="shared" si="1"/>
        <v>0</v>
      </c>
      <c r="N21" s="164"/>
      <c r="O21" s="1183"/>
      <c r="P21" s="1184"/>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172" t="s">
        <v>546</v>
      </c>
      <c r="D22" s="1172"/>
      <c r="E22" s="1172"/>
      <c r="F22" s="1172"/>
      <c r="G22" s="694" t="s">
        <v>31</v>
      </c>
      <c r="H22" s="77" t="s">
        <v>26</v>
      </c>
      <c r="I22" s="155">
        <f t="shared" ref="I22:I31" si="7">$D$11*B22</f>
        <v>0</v>
      </c>
      <c r="J22" s="162">
        <f>I22*30%</f>
        <v>0</v>
      </c>
      <c r="K22" s="162">
        <f t="shared" si="6"/>
        <v>0</v>
      </c>
      <c r="L22" s="162">
        <f t="shared" si="0"/>
        <v>0</v>
      </c>
      <c r="M22" s="167">
        <f t="shared" si="1"/>
        <v>0</v>
      </c>
      <c r="N22" s="164"/>
      <c r="O22" s="1183"/>
      <c r="P22" s="1184"/>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172" t="s">
        <v>547</v>
      </c>
      <c r="D23" s="1172"/>
      <c r="E23" s="1172"/>
      <c r="F23" s="1172"/>
      <c r="G23" s="694" t="s">
        <v>32</v>
      </c>
      <c r="H23" s="77" t="s">
        <v>27</v>
      </c>
      <c r="I23" s="155">
        <f t="shared" si="7"/>
        <v>0</v>
      </c>
      <c r="J23" s="162">
        <f>I23*30%</f>
        <v>0</v>
      </c>
      <c r="K23" s="162">
        <f t="shared" si="6"/>
        <v>0</v>
      </c>
      <c r="L23" s="162">
        <f t="shared" si="0"/>
        <v>0</v>
      </c>
      <c r="M23" s="167">
        <f t="shared" si="1"/>
        <v>0</v>
      </c>
      <c r="N23" s="164"/>
      <c r="O23" s="1183"/>
      <c r="P23" s="1184"/>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183" t="s">
        <v>216</v>
      </c>
      <c r="D24" s="1240"/>
      <c r="E24" s="1240"/>
      <c r="F24" s="1241"/>
      <c r="G24" s="694" t="s">
        <v>32</v>
      </c>
      <c r="H24" s="77" t="s">
        <v>55</v>
      </c>
      <c r="I24" s="155">
        <f t="shared" si="7"/>
        <v>0</v>
      </c>
      <c r="J24" s="162">
        <f t="shared" ref="J24:J31" si="8">I24*30%</f>
        <v>0</v>
      </c>
      <c r="K24" s="162">
        <f t="shared" si="6"/>
        <v>0</v>
      </c>
      <c r="L24" s="162">
        <f t="shared" si="0"/>
        <v>0</v>
      </c>
      <c r="M24" s="167">
        <f t="shared" si="1"/>
        <v>0</v>
      </c>
      <c r="N24" s="164"/>
      <c r="O24" s="1183"/>
      <c r="P24" s="1184"/>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183" t="s">
        <v>466</v>
      </c>
      <c r="D25" s="1240"/>
      <c r="E25" s="1240"/>
      <c r="F25" s="1241"/>
      <c r="G25" s="694" t="s">
        <v>31</v>
      </c>
      <c r="H25" s="77" t="s">
        <v>72</v>
      </c>
      <c r="I25" s="155">
        <f t="shared" si="7"/>
        <v>0</v>
      </c>
      <c r="J25" s="162">
        <f t="shared" si="8"/>
        <v>0</v>
      </c>
      <c r="K25" s="162">
        <f t="shared" si="6"/>
        <v>0</v>
      </c>
      <c r="L25" s="162">
        <f t="shared" si="0"/>
        <v>0</v>
      </c>
      <c r="M25" s="167">
        <f t="shared" si="1"/>
        <v>0</v>
      </c>
      <c r="N25" s="164"/>
      <c r="O25" s="1183"/>
      <c r="P25" s="1184"/>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172" t="s">
        <v>217</v>
      </c>
      <c r="D26" s="1172"/>
      <c r="E26" s="1279" t="str">
        <f>IF(SUM(B26:B30)=Q11,"GC 76000 PA ($" &amp;Q11 &amp; " for every 10) breakdown per local board of supervisor resolution (BOS).","ERROR! GC 76000 PA total is not $" &amp;Q11&amp; ". Check Court's board resolution.")</f>
        <v>ERROR! GC 76000 PA total is not $7. Check Court's board resolution.</v>
      </c>
      <c r="F26" s="1280"/>
      <c r="G26" s="694" t="s">
        <v>32</v>
      </c>
      <c r="H26" s="77" t="s">
        <v>64</v>
      </c>
      <c r="I26" s="155">
        <f t="shared" si="7"/>
        <v>0</v>
      </c>
      <c r="J26" s="162">
        <f t="shared" si="8"/>
        <v>0</v>
      </c>
      <c r="K26" s="162">
        <f t="shared" si="6"/>
        <v>0</v>
      </c>
      <c r="L26" s="162">
        <f t="shared" si="0"/>
        <v>0</v>
      </c>
      <c r="M26" s="167">
        <f t="shared" si="1"/>
        <v>0</v>
      </c>
      <c r="N26" s="164"/>
      <c r="O26" s="1183"/>
      <c r="P26" s="1184"/>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172" t="s">
        <v>218</v>
      </c>
      <c r="D27" s="1172"/>
      <c r="E27" s="1281"/>
      <c r="F27" s="1282"/>
      <c r="G27" s="694" t="s">
        <v>32</v>
      </c>
      <c r="H27" s="77" t="s">
        <v>35</v>
      </c>
      <c r="I27" s="155">
        <f t="shared" si="7"/>
        <v>0</v>
      </c>
      <c r="J27" s="162">
        <f t="shared" si="8"/>
        <v>0</v>
      </c>
      <c r="K27" s="162">
        <f t="shared" si="6"/>
        <v>0</v>
      </c>
      <c r="L27" s="162">
        <f t="shared" si="0"/>
        <v>0</v>
      </c>
      <c r="M27" s="167">
        <f t="shared" si="1"/>
        <v>0</v>
      </c>
      <c r="N27" s="164"/>
      <c r="O27" s="1183"/>
      <c r="P27" s="1184"/>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172" t="s">
        <v>219</v>
      </c>
      <c r="D28" s="1172"/>
      <c r="E28" s="1281"/>
      <c r="F28" s="1282"/>
      <c r="G28" s="694" t="s">
        <v>32</v>
      </c>
      <c r="H28" s="77" t="s">
        <v>65</v>
      </c>
      <c r="I28" s="155">
        <f t="shared" si="7"/>
        <v>0</v>
      </c>
      <c r="J28" s="162">
        <f t="shared" si="8"/>
        <v>0</v>
      </c>
      <c r="K28" s="162">
        <f t="shared" si="6"/>
        <v>0</v>
      </c>
      <c r="L28" s="162">
        <f t="shared" si="0"/>
        <v>0</v>
      </c>
      <c r="M28" s="167">
        <f t="shared" si="1"/>
        <v>0</v>
      </c>
      <c r="N28" s="164"/>
      <c r="O28" s="1183"/>
      <c r="P28" s="1184"/>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172" t="s">
        <v>401</v>
      </c>
      <c r="D29" s="1172"/>
      <c r="E29" s="1281"/>
      <c r="F29" s="1282"/>
      <c r="G29" s="694" t="s">
        <v>32</v>
      </c>
      <c r="H29" s="77" t="s">
        <v>65</v>
      </c>
      <c r="I29" s="155">
        <f t="shared" si="7"/>
        <v>0</v>
      </c>
      <c r="J29" s="162">
        <f>I29*30%</f>
        <v>0</v>
      </c>
      <c r="K29" s="162">
        <f t="shared" si="6"/>
        <v>0</v>
      </c>
      <c r="L29" s="162">
        <f t="shared" si="0"/>
        <v>0</v>
      </c>
      <c r="M29" s="167">
        <f t="shared" si="1"/>
        <v>0</v>
      </c>
      <c r="N29" s="164"/>
      <c r="O29" s="1183"/>
      <c r="P29" s="1184"/>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172" t="s">
        <v>254</v>
      </c>
      <c r="D30" s="1172"/>
      <c r="E30" s="1283"/>
      <c r="F30" s="1284"/>
      <c r="G30" s="694" t="s">
        <v>32</v>
      </c>
      <c r="H30" s="77"/>
      <c r="I30" s="155">
        <f t="shared" si="7"/>
        <v>0</v>
      </c>
      <c r="J30" s="162">
        <f t="shared" si="8"/>
        <v>0</v>
      </c>
      <c r="K30" s="162">
        <f t="shared" si="6"/>
        <v>0</v>
      </c>
      <c r="L30" s="162">
        <f t="shared" si="0"/>
        <v>0</v>
      </c>
      <c r="M30" s="167">
        <f t="shared" si="1"/>
        <v>0</v>
      </c>
      <c r="N30" s="164"/>
      <c r="O30" s="1183"/>
      <c r="P30" s="1184"/>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154" t="s">
        <v>286</v>
      </c>
      <c r="D31" s="1155"/>
      <c r="E31" s="1155"/>
      <c r="F31" s="1232"/>
      <c r="G31" s="702" t="s">
        <v>32</v>
      </c>
      <c r="H31" s="84" t="s">
        <v>36</v>
      </c>
      <c r="I31" s="155">
        <f t="shared" si="7"/>
        <v>0</v>
      </c>
      <c r="J31" s="162">
        <f t="shared" si="8"/>
        <v>0</v>
      </c>
      <c r="K31" s="162">
        <f t="shared" si="6"/>
        <v>0</v>
      </c>
      <c r="L31" s="162">
        <f t="shared" si="0"/>
        <v>0</v>
      </c>
      <c r="M31" s="167">
        <f t="shared" si="1"/>
        <v>0</v>
      </c>
      <c r="N31" s="164"/>
      <c r="O31" s="1183"/>
      <c r="P31" s="1184"/>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154" t="s">
        <v>385</v>
      </c>
      <c r="D32" s="1155"/>
      <c r="E32" s="1155"/>
      <c r="F32" s="1232"/>
      <c r="G32" s="702" t="s">
        <v>31</v>
      </c>
      <c r="H32" s="91" t="s">
        <v>39</v>
      </c>
      <c r="I32" s="204">
        <v>4</v>
      </c>
      <c r="J32" s="162">
        <f>I32*30%</f>
        <v>1.2</v>
      </c>
      <c r="K32" s="162">
        <f t="shared" si="6"/>
        <v>2.8</v>
      </c>
      <c r="L32" s="162">
        <f>IF(A32="Y", I32*2%,0)</f>
        <v>0</v>
      </c>
      <c r="M32" s="167">
        <f t="shared" si="1"/>
        <v>2.8</v>
      </c>
      <c r="N32" s="164"/>
      <c r="O32" s="1183"/>
      <c r="P32" s="1184"/>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154" t="s">
        <v>555</v>
      </c>
      <c r="D33" s="1155"/>
      <c r="E33" s="1232"/>
      <c r="F33" s="1088" t="s">
        <v>281</v>
      </c>
      <c r="G33" s="702" t="s">
        <v>31</v>
      </c>
      <c r="H33" s="84" t="s">
        <v>37</v>
      </c>
      <c r="I33" s="155">
        <f>$D$11*B33</f>
        <v>0</v>
      </c>
      <c r="J33" s="162">
        <f>I33*30%</f>
        <v>0</v>
      </c>
      <c r="K33" s="162">
        <f t="shared" si="6"/>
        <v>0</v>
      </c>
      <c r="L33" s="162">
        <f>IF(A33="Y", K33*2%,0)</f>
        <v>0</v>
      </c>
      <c r="M33" s="167">
        <f t="shared" si="1"/>
        <v>0</v>
      </c>
      <c r="N33" s="164"/>
      <c r="O33" s="1183"/>
      <c r="P33" s="1184"/>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154" t="s">
        <v>556</v>
      </c>
      <c r="D34" s="1155"/>
      <c r="E34" s="1232"/>
      <c r="F34" s="1089"/>
      <c r="G34" s="702" t="s">
        <v>31</v>
      </c>
      <c r="H34" s="84" t="s">
        <v>197</v>
      </c>
      <c r="I34" s="155">
        <f>$D$11*B34</f>
        <v>0</v>
      </c>
      <c r="J34" s="162">
        <f>I34*30%</f>
        <v>0</v>
      </c>
      <c r="K34" s="162">
        <f t="shared" si="6"/>
        <v>0</v>
      </c>
      <c r="L34" s="162">
        <f>IF(A34="Y", K34*2%,0)</f>
        <v>0</v>
      </c>
      <c r="M34" s="167">
        <f t="shared" si="1"/>
        <v>0</v>
      </c>
      <c r="N34" s="164"/>
      <c r="O34" s="1183"/>
      <c r="P34" s="1184"/>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154" t="s">
        <v>220</v>
      </c>
      <c r="D35" s="1155"/>
      <c r="E35" s="1155"/>
      <c r="F35" s="1232"/>
      <c r="G35" s="702" t="s">
        <v>31</v>
      </c>
      <c r="H35" s="84" t="s">
        <v>10</v>
      </c>
      <c r="I35" s="155">
        <f>$D$10*20%</f>
        <v>0</v>
      </c>
      <c r="J35" s="162"/>
      <c r="K35" s="162">
        <f t="shared" si="6"/>
        <v>0</v>
      </c>
      <c r="L35" s="162">
        <f>IF(A35="Y", K35*2%,0)</f>
        <v>0</v>
      </c>
      <c r="M35" s="167">
        <f>I35-L35</f>
        <v>0</v>
      </c>
      <c r="N35" s="164"/>
      <c r="O35" s="1183"/>
      <c r="P35" s="1184"/>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229" t="s">
        <v>221</v>
      </c>
      <c r="D36" s="1230"/>
      <c r="E36" s="1230"/>
      <c r="F36" s="1231"/>
      <c r="G36" s="703"/>
      <c r="H36" s="88"/>
      <c r="I36" s="157">
        <f>SUM(I19:I35)</f>
        <v>4</v>
      </c>
      <c r="J36" s="277"/>
      <c r="K36" s="277">
        <f>SUM(K19:K35)</f>
        <v>4</v>
      </c>
      <c r="L36" s="162"/>
      <c r="M36" s="168">
        <f>SUM(M17:M35)</f>
        <v>4</v>
      </c>
      <c r="N36" s="165"/>
      <c r="O36" s="1154"/>
      <c r="P36" s="1239"/>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154" t="s">
        <v>419</v>
      </c>
      <c r="D37" s="1155"/>
      <c r="E37" s="1155"/>
      <c r="F37" s="1232"/>
      <c r="G37" s="702" t="s">
        <v>31</v>
      </c>
      <c r="H37" s="91"/>
      <c r="I37" s="204">
        <v>40</v>
      </c>
      <c r="J37" s="162"/>
      <c r="K37" s="162"/>
      <c r="L37" s="162"/>
      <c r="M37" s="167">
        <f t="shared" ref="M37:M45" si="9">I37-L37</f>
        <v>40</v>
      </c>
      <c r="N37" s="164"/>
      <c r="O37" s="1154"/>
      <c r="P37" s="1239"/>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233" t="s">
        <v>259</v>
      </c>
      <c r="D38" s="1234"/>
      <c r="E38" s="1234"/>
      <c r="F38" s="1235"/>
      <c r="G38" s="704" t="s">
        <v>31</v>
      </c>
      <c r="H38" s="92" t="s">
        <v>197</v>
      </c>
      <c r="I38" s="204">
        <v>35</v>
      </c>
      <c r="J38" s="162"/>
      <c r="K38" s="162">
        <f t="shared" ref="K38:K45" si="12">I38</f>
        <v>35</v>
      </c>
      <c r="L38" s="162">
        <f>IF(A38="Y", I38*2%,0)</f>
        <v>0</v>
      </c>
      <c r="M38" s="167">
        <f t="shared" si="9"/>
        <v>35</v>
      </c>
      <c r="N38" s="164"/>
      <c r="O38" s="1183"/>
      <c r="P38" s="1184"/>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233" t="s">
        <v>421</v>
      </c>
      <c r="D39" s="1234"/>
      <c r="E39" s="1234"/>
      <c r="F39" s="1235"/>
      <c r="G39" s="704" t="s">
        <v>230</v>
      </c>
      <c r="H39" s="92" t="s">
        <v>24</v>
      </c>
      <c r="I39" s="204"/>
      <c r="J39" s="162"/>
      <c r="K39" s="162">
        <f t="shared" si="12"/>
        <v>0</v>
      </c>
      <c r="L39" s="162">
        <f>IF(A39="Y", I39*2%,0)</f>
        <v>0</v>
      </c>
      <c r="M39" s="167">
        <f t="shared" si="9"/>
        <v>0</v>
      </c>
      <c r="N39" s="164"/>
      <c r="O39" s="1183"/>
      <c r="P39" s="1184"/>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233" t="s">
        <v>448</v>
      </c>
      <c r="D40" s="1234"/>
      <c r="E40" s="1234"/>
      <c r="F40" s="1235"/>
      <c r="G40" s="704" t="s">
        <v>32</v>
      </c>
      <c r="H40" s="92" t="s">
        <v>15</v>
      </c>
      <c r="I40" s="204">
        <f>49*49%</f>
        <v>24.009999999999998</v>
      </c>
      <c r="J40" s="162"/>
      <c r="K40" s="162">
        <f t="shared" si="12"/>
        <v>24.009999999999998</v>
      </c>
      <c r="L40" s="162">
        <f>IF(A40="Y", I40*2%,0)</f>
        <v>0</v>
      </c>
      <c r="M40" s="167">
        <f t="shared" si="9"/>
        <v>24.009999999999998</v>
      </c>
      <c r="N40" s="164"/>
      <c r="O40" s="1183"/>
      <c r="P40" s="1184"/>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233" t="s">
        <v>449</v>
      </c>
      <c r="D41" s="1234"/>
      <c r="E41" s="1234"/>
      <c r="F41" s="1235"/>
      <c r="G41" s="704" t="s">
        <v>31</v>
      </c>
      <c r="H41" s="92" t="s">
        <v>27</v>
      </c>
      <c r="I41" s="204">
        <f>49*51%</f>
        <v>24.990000000000002</v>
      </c>
      <c r="J41" s="162"/>
      <c r="K41" s="162">
        <f t="shared" si="12"/>
        <v>24.990000000000002</v>
      </c>
      <c r="L41" s="162">
        <f>IF(A41="Y", I41*2%,0)</f>
        <v>0</v>
      </c>
      <c r="M41" s="167">
        <f t="shared" si="9"/>
        <v>24.990000000000002</v>
      </c>
      <c r="N41" s="164"/>
      <c r="O41" s="1183"/>
      <c r="P41" s="1184"/>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233" t="s">
        <v>427</v>
      </c>
      <c r="D42" s="1234"/>
      <c r="E42" s="1234"/>
      <c r="F42" s="1235"/>
      <c r="G42" s="704" t="s">
        <v>230</v>
      </c>
      <c r="H42" s="92" t="s">
        <v>13</v>
      </c>
      <c r="I42" s="204"/>
      <c r="J42" s="162"/>
      <c r="K42" s="162">
        <f>I42</f>
        <v>0</v>
      </c>
      <c r="L42" s="162">
        <f>IF(A42="Y", I42*2%,0)</f>
        <v>0</v>
      </c>
      <c r="M42" s="167">
        <f>I42-L42</f>
        <v>0</v>
      </c>
      <c r="N42" s="164"/>
      <c r="O42" s="1183"/>
      <c r="P42" s="1184"/>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154" t="s">
        <v>551</v>
      </c>
      <c r="D43" s="1234"/>
      <c r="E43" s="1234"/>
      <c r="F43" s="1235"/>
      <c r="G43" s="704" t="s">
        <v>31</v>
      </c>
      <c r="H43" s="92"/>
      <c r="I43" s="204">
        <v>3</v>
      </c>
      <c r="J43" s="162"/>
      <c r="K43" s="162"/>
      <c r="L43" s="162"/>
      <c r="M43" s="167">
        <f t="shared" si="9"/>
        <v>3</v>
      </c>
      <c r="N43" s="164"/>
      <c r="O43" s="1183"/>
      <c r="P43" s="1184"/>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154" t="s">
        <v>518</v>
      </c>
      <c r="D44" s="1155"/>
      <c r="E44" s="1155"/>
      <c r="F44" s="1232"/>
      <c r="G44" s="704" t="s">
        <v>230</v>
      </c>
      <c r="H44" s="92" t="s">
        <v>82</v>
      </c>
      <c r="I44" s="204"/>
      <c r="J44" s="162"/>
      <c r="K44" s="162">
        <f t="shared" si="12"/>
        <v>0</v>
      </c>
      <c r="L44" s="162">
        <f>IF(A44="Y", I44*2%,0)</f>
        <v>0</v>
      </c>
      <c r="M44" s="167">
        <f t="shared" si="9"/>
        <v>0</v>
      </c>
      <c r="N44" s="164"/>
      <c r="O44" s="1183"/>
      <c r="P44" s="1184"/>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233" t="s">
        <v>225</v>
      </c>
      <c r="D45" s="1234"/>
      <c r="E45" s="1234"/>
      <c r="F45" s="1235"/>
      <c r="G45" s="704" t="s">
        <v>31</v>
      </c>
      <c r="H45" s="92" t="s">
        <v>80</v>
      </c>
      <c r="I45" s="204"/>
      <c r="J45" s="162"/>
      <c r="K45" s="162">
        <f t="shared" si="12"/>
        <v>0</v>
      </c>
      <c r="L45" s="162">
        <f>IF(A45="Y", I45*2%,0)</f>
        <v>0</v>
      </c>
      <c r="M45" s="167">
        <f t="shared" si="9"/>
        <v>0</v>
      </c>
      <c r="N45" s="164"/>
      <c r="O45" s="1183"/>
      <c r="P45" s="1184"/>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183" t="s">
        <v>492</v>
      </c>
      <c r="D46" s="1240"/>
      <c r="E46" s="1240"/>
      <c r="F46" s="1241"/>
      <c r="G46" s="705" t="s">
        <v>31</v>
      </c>
      <c r="H46" s="96" t="s">
        <v>41</v>
      </c>
      <c r="I46" s="97"/>
      <c r="J46" s="163"/>
      <c r="K46" s="163"/>
      <c r="L46" s="163"/>
      <c r="M46" s="169">
        <f>L47</f>
        <v>0</v>
      </c>
      <c r="N46" s="164"/>
      <c r="O46" s="1183"/>
      <c r="P46" s="1184"/>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276" t="s">
        <v>61</v>
      </c>
      <c r="B49" s="1276"/>
      <c r="C49" s="1276"/>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145"/>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5"/>
    </row>
    <row r="51" spans="1:25" s="141" customFormat="1" ht="18" customHeight="1" x14ac:dyDescent="0.2">
      <c r="A51" s="769">
        <v>2</v>
      </c>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5"/>
    </row>
    <row r="52" spans="1:25" s="141" customFormat="1" ht="18" customHeight="1" x14ac:dyDescent="0.2">
      <c r="A52" s="769">
        <v>3</v>
      </c>
      <c r="B52" s="1145"/>
      <c r="C52" s="1145"/>
      <c r="D52" s="1145"/>
      <c r="E52" s="1145"/>
      <c r="F52" s="1145"/>
      <c r="G52" s="1145"/>
      <c r="H52" s="1145"/>
      <c r="I52" s="1145"/>
      <c r="J52" s="1145"/>
      <c r="K52" s="1145"/>
      <c r="L52" s="1145"/>
      <c r="M52" s="1145"/>
      <c r="N52" s="1145"/>
      <c r="O52" s="1145"/>
      <c r="P52" s="1145"/>
      <c r="Q52" s="1145"/>
      <c r="R52" s="1145"/>
      <c r="S52" s="1145"/>
      <c r="T52" s="1145"/>
      <c r="U52" s="1145"/>
      <c r="V52" s="1145"/>
      <c r="W52" s="1145"/>
      <c r="X52" s="1145"/>
      <c r="Y52" s="1145"/>
    </row>
    <row r="53" spans="1:25" s="54" customFormat="1" ht="17.25" customHeight="1" x14ac:dyDescent="0.2">
      <c r="A53" s="769">
        <v>4</v>
      </c>
      <c r="B53" s="1145"/>
      <c r="C53" s="1145"/>
      <c r="D53" s="1145"/>
      <c r="E53" s="1145"/>
      <c r="F53" s="1145"/>
      <c r="G53" s="1145"/>
      <c r="H53" s="1145"/>
      <c r="I53" s="1145"/>
      <c r="J53" s="1145"/>
      <c r="K53" s="1145"/>
      <c r="L53" s="1145"/>
      <c r="M53" s="1145"/>
      <c r="N53" s="1145"/>
      <c r="O53" s="1145"/>
      <c r="P53" s="1145"/>
      <c r="Q53" s="1145"/>
      <c r="R53" s="1145"/>
      <c r="S53" s="1145"/>
      <c r="T53" s="1145"/>
      <c r="U53" s="1145"/>
      <c r="V53" s="1145"/>
      <c r="W53" s="1145"/>
      <c r="X53" s="1145"/>
      <c r="Y53" s="1145"/>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25" priority="19" stopIfTrue="1" operator="equal">
      <formula>0</formula>
    </cfRule>
  </conditionalFormatting>
  <conditionalFormatting sqref="W12:X13 W49:X49 W54:X65535">
    <cfRule type="cellIs" dxfId="124" priority="18" stopIfTrue="1" operator="notEqual">
      <formula>0</formula>
    </cfRule>
  </conditionalFormatting>
  <conditionalFormatting sqref="I17:I19">
    <cfRule type="cellIs" dxfId="123" priority="17" stopIfTrue="1" operator="equal">
      <formula>0</formula>
    </cfRule>
  </conditionalFormatting>
  <conditionalFormatting sqref="O17:Q46">
    <cfRule type="expression" dxfId="122" priority="15">
      <formula>MOD(ROW(),2)=0</formula>
    </cfRule>
  </conditionalFormatting>
  <conditionalFormatting sqref="I33:I36 I19:I31 J19:M46">
    <cfRule type="cellIs" dxfId="121" priority="14" operator="equal">
      <formula>0</formula>
    </cfRule>
  </conditionalFormatting>
  <conditionalFormatting sqref="X19:X46">
    <cfRule type="cellIs" dxfId="120" priority="2" operator="greaterThan">
      <formula>0</formula>
    </cfRule>
  </conditionalFormatting>
  <conditionalFormatting sqref="E26">
    <cfRule type="cellIs" dxfId="119"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47"/>
  <sheetViews>
    <sheetView tabSelected="1" zoomScale="80" zoomScaleNormal="80" zoomScaleSheetLayoutView="55" workbookViewId="0">
      <selection activeCell="O5" sqref="O5"/>
    </sheetView>
  </sheetViews>
  <sheetFormatPr defaultRowHeight="18.75" x14ac:dyDescent="0.2"/>
  <cols>
    <col min="1" max="1" width="2.85546875" customWidth="1"/>
    <col min="2" max="2" width="4.28515625" style="98" customWidth="1"/>
    <col min="3" max="3" width="6.28515625" style="98" customWidth="1"/>
    <col min="4" max="4" width="14.140625" style="98" customWidth="1"/>
    <col min="5" max="5" width="13.28515625" style="98" customWidth="1"/>
    <col min="6" max="6" width="10.42578125" style="99" customWidth="1"/>
    <col min="7" max="7" width="21" style="133" customWidth="1"/>
    <col min="8" max="8" width="8.7109375" style="50" bestFit="1" customWidth="1"/>
    <col min="9" max="9" width="8.28515625" style="50" hidden="1" customWidth="1"/>
    <col min="10" max="10" width="11" style="50" customWidth="1"/>
    <col min="11" max="11" width="12.7109375" style="50" customWidth="1"/>
    <col min="12" max="12" width="0.140625" style="932" customWidth="1"/>
    <col min="13" max="13" width="22.28515625" style="103" customWidth="1"/>
    <col min="14" max="14" width="1.7109375" style="100" customWidth="1"/>
    <col min="15" max="15" width="19.42578125" style="50" customWidth="1"/>
    <col min="18" max="18" width="10.7109375" bestFit="1" customWidth="1"/>
  </cols>
  <sheetData>
    <row r="1" spans="2:15" ht="24.75" customHeight="1" thickBot="1" x14ac:dyDescent="0.25">
      <c r="B1" s="1418" t="s">
        <v>581</v>
      </c>
      <c r="C1" s="1419"/>
      <c r="D1" s="1419"/>
      <c r="E1" s="1419"/>
      <c r="F1" s="1419"/>
      <c r="G1" s="1419"/>
      <c r="H1" s="1419"/>
      <c r="I1" s="1419"/>
      <c r="J1" s="1419"/>
      <c r="K1" s="1419"/>
      <c r="L1" s="1420"/>
      <c r="M1" s="1420"/>
      <c r="N1" s="1420"/>
      <c r="O1" s="1421"/>
    </row>
    <row r="2" spans="2:15" ht="19.5" thickBot="1" x14ac:dyDescent="0.25">
      <c r="B2" s="815"/>
      <c r="C2" s="51"/>
      <c r="D2" s="51"/>
      <c r="E2" s="51"/>
      <c r="F2" s="51"/>
      <c r="G2" s="51"/>
      <c r="H2" s="51"/>
      <c r="I2" s="51"/>
      <c r="J2" s="51"/>
      <c r="K2" s="51"/>
      <c r="L2" s="52"/>
      <c r="M2" s="52"/>
      <c r="N2" s="52"/>
      <c r="O2" s="816"/>
    </row>
    <row r="3" spans="2:15" ht="19.5" thickBot="1" x14ac:dyDescent="0.25">
      <c r="B3" s="778" t="s">
        <v>234</v>
      </c>
      <c r="C3" s="779"/>
      <c r="D3" s="779"/>
      <c r="E3" s="779"/>
      <c r="F3" s="779"/>
      <c r="G3" s="779"/>
      <c r="H3" s="779"/>
      <c r="I3" s="779"/>
      <c r="J3" s="779"/>
      <c r="K3" s="779"/>
      <c r="L3" s="779"/>
      <c r="M3" s="1483"/>
      <c r="N3" s="1483"/>
      <c r="O3" s="924"/>
    </row>
    <row r="4" spans="2:15" ht="15.75" x14ac:dyDescent="0.2">
      <c r="B4" s="1484" t="s">
        <v>231</v>
      </c>
      <c r="C4" s="1485"/>
      <c r="D4" s="1485"/>
      <c r="E4" s="1486"/>
      <c r="F4" s="1487"/>
      <c r="G4" s="1488" t="s">
        <v>28</v>
      </c>
      <c r="H4" s="1489"/>
      <c r="I4" s="208"/>
      <c r="J4" s="1490"/>
      <c r="K4" s="1491"/>
      <c r="L4" s="1465" t="s">
        <v>257</v>
      </c>
      <c r="M4" s="1469"/>
      <c r="N4" s="1466"/>
      <c r="O4" s="209">
        <v>0</v>
      </c>
    </row>
    <row r="5" spans="2:15" ht="15.75" x14ac:dyDescent="0.2">
      <c r="B5" s="1470" t="s">
        <v>4</v>
      </c>
      <c r="C5" s="1471"/>
      <c r="D5" s="1471"/>
      <c r="E5" s="1480"/>
      <c r="F5" s="1473"/>
      <c r="G5" s="1449" t="s">
        <v>244</v>
      </c>
      <c r="H5" s="1451"/>
      <c r="I5" s="185"/>
      <c r="J5" s="1472"/>
      <c r="K5" s="1482"/>
      <c r="L5" s="1449" t="s">
        <v>22</v>
      </c>
      <c r="M5" s="1450"/>
      <c r="N5" s="1451"/>
      <c r="O5" s="1045"/>
    </row>
    <row r="6" spans="2:15" ht="16.5" thickBot="1" x14ac:dyDescent="0.25">
      <c r="B6" s="1470" t="s">
        <v>12</v>
      </c>
      <c r="C6" s="1471"/>
      <c r="D6" s="1471"/>
      <c r="E6" s="1480"/>
      <c r="F6" s="1481"/>
      <c r="G6" s="1449" t="s">
        <v>20</v>
      </c>
      <c r="H6" s="1451"/>
      <c r="I6" s="185"/>
      <c r="J6" s="1472"/>
      <c r="K6" s="1482"/>
      <c r="L6" s="1456" t="s">
        <v>233</v>
      </c>
      <c r="M6" s="1457"/>
      <c r="N6" s="1458"/>
      <c r="O6" s="1041">
        <f>O4+O5*10</f>
        <v>0</v>
      </c>
    </row>
    <row r="7" spans="2:15" ht="16.5" thickBot="1" x14ac:dyDescent="0.25">
      <c r="B7" s="1470" t="s">
        <v>5</v>
      </c>
      <c r="C7" s="1471"/>
      <c r="D7" s="1471"/>
      <c r="E7" s="1472"/>
      <c r="F7" s="1473"/>
      <c r="G7" s="1474" t="s">
        <v>21</v>
      </c>
      <c r="H7" s="1475"/>
      <c r="I7" s="186"/>
      <c r="J7" s="1476"/>
      <c r="K7" s="1477"/>
      <c r="L7" s="1478"/>
      <c r="M7" s="1479"/>
      <c r="N7" s="1479"/>
      <c r="O7" s="905"/>
    </row>
    <row r="8" spans="2:15" ht="15.75" customHeight="1" x14ac:dyDescent="0.2">
      <c r="B8" s="1459" t="s">
        <v>54</v>
      </c>
      <c r="C8" s="1460"/>
      <c r="D8" s="1460"/>
      <c r="E8" s="1463">
        <v>1</v>
      </c>
      <c r="F8" s="1464"/>
      <c r="G8" s="1465" t="s">
        <v>253</v>
      </c>
      <c r="H8" s="1466"/>
      <c r="I8" s="187"/>
      <c r="J8" s="1467"/>
      <c r="K8" s="1468"/>
      <c r="L8" s="1465" t="s">
        <v>257</v>
      </c>
      <c r="M8" s="1469"/>
      <c r="N8" s="1466"/>
      <c r="O8" s="55">
        <v>0</v>
      </c>
    </row>
    <row r="9" spans="2:15" ht="16.5" thickBot="1" x14ac:dyDescent="0.25">
      <c r="B9" s="1459" t="s">
        <v>53</v>
      </c>
      <c r="C9" s="1460"/>
      <c r="D9" s="1460"/>
      <c r="E9" s="1461">
        <f>100%-E8</f>
        <v>0</v>
      </c>
      <c r="F9" s="1462"/>
      <c r="G9" s="1449" t="s">
        <v>244</v>
      </c>
      <c r="H9" s="1451"/>
      <c r="I9" s="185"/>
      <c r="J9" s="1454"/>
      <c r="K9" s="1455"/>
      <c r="L9" s="1449" t="s">
        <v>22</v>
      </c>
      <c r="M9" s="1450"/>
      <c r="N9" s="1451"/>
      <c r="O9" s="1045"/>
    </row>
    <row r="10" spans="2:15" ht="31.5" customHeight="1" thickBot="1" x14ac:dyDescent="0.25">
      <c r="B10" s="1152" t="s">
        <v>276</v>
      </c>
      <c r="C10" s="1153"/>
      <c r="D10" s="1153"/>
      <c r="E10" s="1452">
        <f>O6+O10</f>
        <v>0</v>
      </c>
      <c r="F10" s="1453"/>
      <c r="G10" s="1371" t="s">
        <v>20</v>
      </c>
      <c r="H10" s="1220"/>
      <c r="I10" s="185"/>
      <c r="J10" s="1454"/>
      <c r="K10" s="1455"/>
      <c r="L10" s="1456" t="s">
        <v>233</v>
      </c>
      <c r="M10" s="1457"/>
      <c r="N10" s="1458"/>
      <c r="O10" s="1041">
        <f>O8+O9*10</f>
        <v>0</v>
      </c>
    </row>
    <row r="11" spans="2:15" ht="19.5" customHeight="1" thickBot="1" x14ac:dyDescent="0.25">
      <c r="B11" s="1150" t="s">
        <v>277</v>
      </c>
      <c r="C11" s="1151"/>
      <c r="D11" s="1151"/>
      <c r="E11" s="1146">
        <f>ROUNDUP(E10/10,0)</f>
        <v>0</v>
      </c>
      <c r="F11" s="1147"/>
      <c r="G11" s="1362" t="s">
        <v>21</v>
      </c>
      <c r="H11" s="1173"/>
      <c r="I11" s="186"/>
      <c r="J11" s="1446"/>
      <c r="K11" s="1447"/>
      <c r="L11" s="1416" t="s">
        <v>568</v>
      </c>
      <c r="M11" s="1448"/>
      <c r="N11" s="1448"/>
      <c r="O11" s="1044">
        <f>'Local Penalties'!B8</f>
        <v>7</v>
      </c>
    </row>
    <row r="12" spans="2:15" ht="19.5" thickBot="1" x14ac:dyDescent="0.25">
      <c r="B12" s="817"/>
      <c r="C12" s="818"/>
      <c r="D12" s="818"/>
      <c r="E12" s="818"/>
      <c r="F12" s="818"/>
      <c r="G12" s="66"/>
      <c r="H12" s="59"/>
      <c r="I12" s="60"/>
      <c r="J12" s="61"/>
      <c r="K12" s="61"/>
      <c r="L12" s="925"/>
      <c r="M12" s="61"/>
      <c r="N12" s="61"/>
      <c r="O12" s="847"/>
    </row>
    <row r="13" spans="2:15" ht="35.25" customHeight="1" thickBot="1" x14ac:dyDescent="0.25">
      <c r="B13" s="820"/>
      <c r="C13" s="192"/>
      <c r="D13" s="192"/>
      <c r="E13" s="192"/>
      <c r="F13" s="192"/>
      <c r="G13" s="107"/>
      <c r="H13" s="814"/>
      <c r="I13" s="821"/>
      <c r="J13" s="199"/>
      <c r="K13" s="199"/>
      <c r="L13" s="1299" t="s">
        <v>314</v>
      </c>
      <c r="M13" s="1301"/>
      <c r="N13" s="247"/>
      <c r="O13" s="272" t="s">
        <v>582</v>
      </c>
    </row>
    <row r="14" spans="2:15" ht="42" customHeight="1" x14ac:dyDescent="0.2">
      <c r="B14" s="885">
        <v>0.02</v>
      </c>
      <c r="C14" s="892" t="s">
        <v>58</v>
      </c>
      <c r="D14" s="1438" t="s">
        <v>226</v>
      </c>
      <c r="E14" s="1438"/>
      <c r="F14" s="1438"/>
      <c r="G14" s="1438"/>
      <c r="H14" s="893" t="s">
        <v>249</v>
      </c>
      <c r="I14" s="893" t="s">
        <v>0</v>
      </c>
      <c r="J14" s="1440" t="s">
        <v>269</v>
      </c>
      <c r="K14" s="933" t="s">
        <v>294</v>
      </c>
      <c r="L14" s="1442" t="s">
        <v>6</v>
      </c>
      <c r="M14" s="1444" t="s">
        <v>304</v>
      </c>
      <c r="N14" s="894"/>
      <c r="O14" s="895" t="s">
        <v>313</v>
      </c>
    </row>
    <row r="15" spans="2:15" ht="18" customHeight="1" thickBot="1" x14ac:dyDescent="0.25">
      <c r="B15" s="886"/>
      <c r="C15" s="896"/>
      <c r="D15" s="1439"/>
      <c r="E15" s="1439"/>
      <c r="F15" s="1439"/>
      <c r="G15" s="1439"/>
      <c r="H15" s="897"/>
      <c r="I15" s="897"/>
      <c r="J15" s="1441"/>
      <c r="K15" s="934"/>
      <c r="L15" s="1443"/>
      <c r="M15" s="1445"/>
      <c r="N15" s="898"/>
      <c r="O15" s="899" t="e">
        <f>(O33-SUM(O24:O25))/(F33-SUM(K24:K25))</f>
        <v>#DIV/0!</v>
      </c>
    </row>
    <row r="16" spans="2:15" ht="16.5" thickBot="1" x14ac:dyDescent="0.25">
      <c r="B16" s="275" t="s">
        <v>7</v>
      </c>
      <c r="C16" s="887"/>
      <c r="D16" s="880"/>
      <c r="E16" s="881"/>
      <c r="F16" s="881"/>
      <c r="G16" s="882"/>
      <c r="H16" s="888"/>
      <c r="I16" s="888"/>
      <c r="J16" s="884"/>
      <c r="K16" s="935"/>
      <c r="L16" s="940"/>
      <c r="M16" s="926" t="s">
        <v>42</v>
      </c>
      <c r="N16" s="68"/>
      <c r="O16" s="244" t="s">
        <v>44</v>
      </c>
    </row>
    <row r="17" spans="2:15" ht="15.75" customHeight="1" thickTop="1" x14ac:dyDescent="0.2">
      <c r="B17" s="822" t="s">
        <v>7</v>
      </c>
      <c r="C17" s="946"/>
      <c r="D17" s="1437" t="s">
        <v>291</v>
      </c>
      <c r="E17" s="1437"/>
      <c r="F17" s="1437"/>
      <c r="G17" s="1437"/>
      <c r="H17" s="965" t="s">
        <v>32</v>
      </c>
      <c r="I17" s="966" t="s">
        <v>14</v>
      </c>
      <c r="J17" s="154"/>
      <c r="K17" s="162">
        <f>(J46-J46)-L17</f>
        <v>0</v>
      </c>
      <c r="L17" s="941">
        <f>IF(B17="Y",(J34-K34)*2%,)</f>
        <v>0</v>
      </c>
      <c r="M17" s="927">
        <f>(J46-K46)-L17</f>
        <v>4</v>
      </c>
      <c r="N17" s="889"/>
      <c r="O17" s="902">
        <f t="shared" ref="O17:O32" si="0">IF($O$47=0,,$O$15*M17)</f>
        <v>0</v>
      </c>
    </row>
    <row r="18" spans="2:15" ht="15" customHeight="1" x14ac:dyDescent="0.2">
      <c r="B18" s="822" t="s">
        <v>7</v>
      </c>
      <c r="C18" s="1435" t="s">
        <v>241</v>
      </c>
      <c r="D18" s="1428" t="s">
        <v>307</v>
      </c>
      <c r="E18" s="1428"/>
      <c r="F18" s="1428"/>
      <c r="G18" s="1428"/>
      <c r="H18" s="963" t="s">
        <v>32</v>
      </c>
      <c r="I18" s="84" t="s">
        <v>27</v>
      </c>
      <c r="J18" s="155">
        <f>($E$10)*E8</f>
        <v>0</v>
      </c>
      <c r="K18" s="937"/>
      <c r="L18" s="941">
        <f t="shared" ref="L18:L31" si="1">IF(B18="Y",K18* 2%,0)</f>
        <v>0</v>
      </c>
      <c r="M18" s="928">
        <f t="shared" ref="M18:M32" si="2">K18-L18</f>
        <v>0</v>
      </c>
      <c r="N18" s="889"/>
      <c r="O18" s="823">
        <f t="shared" si="0"/>
        <v>0</v>
      </c>
    </row>
    <row r="19" spans="2:15" ht="15" customHeight="1" x14ac:dyDescent="0.2">
      <c r="B19" s="822" t="s">
        <v>7</v>
      </c>
      <c r="C19" s="1436"/>
      <c r="D19" s="1428" t="s">
        <v>306</v>
      </c>
      <c r="E19" s="1428"/>
      <c r="F19" s="1428"/>
      <c r="G19" s="1428"/>
      <c r="H19" s="963" t="s">
        <v>52</v>
      </c>
      <c r="I19" s="84" t="s">
        <v>25</v>
      </c>
      <c r="J19" s="155">
        <f>($E$10)*E9</f>
        <v>0</v>
      </c>
      <c r="K19" s="937">
        <f>IF(J19&gt;0,J19*98%,)</f>
        <v>0</v>
      </c>
      <c r="L19" s="941">
        <f t="shared" si="1"/>
        <v>0</v>
      </c>
      <c r="M19" s="928">
        <f t="shared" si="2"/>
        <v>0</v>
      </c>
      <c r="N19" s="889"/>
      <c r="O19" s="903">
        <f t="shared" si="0"/>
        <v>0</v>
      </c>
    </row>
    <row r="20" spans="2:15" ht="15" customHeight="1" x14ac:dyDescent="0.2">
      <c r="B20" s="822" t="s">
        <v>7</v>
      </c>
      <c r="C20" s="75">
        <v>7</v>
      </c>
      <c r="D20" s="1428" t="s">
        <v>546</v>
      </c>
      <c r="E20" s="1428"/>
      <c r="F20" s="1428"/>
      <c r="G20" s="1428"/>
      <c r="H20" s="923" t="s">
        <v>31</v>
      </c>
      <c r="I20" s="84" t="s">
        <v>26</v>
      </c>
      <c r="J20" s="155">
        <f>$E$11*C20</f>
        <v>0</v>
      </c>
      <c r="K20" s="937"/>
      <c r="L20" s="941">
        <f t="shared" si="1"/>
        <v>0</v>
      </c>
      <c r="M20" s="928">
        <f t="shared" si="2"/>
        <v>0</v>
      </c>
      <c r="N20" s="889"/>
      <c r="O20" s="903">
        <f t="shared" si="0"/>
        <v>0</v>
      </c>
    </row>
    <row r="21" spans="2:15" ht="15" customHeight="1" x14ac:dyDescent="0.2">
      <c r="B21" s="822" t="s">
        <v>7</v>
      </c>
      <c r="C21" s="75">
        <v>3</v>
      </c>
      <c r="D21" s="1172" t="s">
        <v>547</v>
      </c>
      <c r="E21" s="1172"/>
      <c r="F21" s="1172"/>
      <c r="G21" s="1172"/>
      <c r="H21" s="883" t="s">
        <v>32</v>
      </c>
      <c r="I21" s="77" t="s">
        <v>27</v>
      </c>
      <c r="J21" s="155">
        <f t="shared" ref="J21:J32" si="3">$E$11*C21</f>
        <v>0</v>
      </c>
      <c r="K21" s="937"/>
      <c r="L21" s="941">
        <f t="shared" si="1"/>
        <v>0</v>
      </c>
      <c r="M21" s="928">
        <f t="shared" si="2"/>
        <v>0</v>
      </c>
      <c r="N21" s="889"/>
      <c r="O21" s="903">
        <f t="shared" si="0"/>
        <v>0</v>
      </c>
    </row>
    <row r="22" spans="2:15" ht="18.75" customHeight="1" x14ac:dyDescent="0.2">
      <c r="B22" s="822" t="s">
        <v>7</v>
      </c>
      <c r="C22" s="75">
        <v>1</v>
      </c>
      <c r="D22" s="1183" t="s">
        <v>216</v>
      </c>
      <c r="E22" s="1240"/>
      <c r="F22" s="1240"/>
      <c r="G22" s="1241"/>
      <c r="H22" s="883" t="s">
        <v>32</v>
      </c>
      <c r="I22" s="77" t="s">
        <v>55</v>
      </c>
      <c r="J22" s="155">
        <f t="shared" si="3"/>
        <v>0</v>
      </c>
      <c r="K22" s="937"/>
      <c r="L22" s="941">
        <f t="shared" si="1"/>
        <v>0</v>
      </c>
      <c r="M22" s="928">
        <f t="shared" si="2"/>
        <v>0</v>
      </c>
      <c r="N22" s="889"/>
      <c r="O22" s="903">
        <f t="shared" si="0"/>
        <v>0</v>
      </c>
    </row>
    <row r="23" spans="2:15" ht="15" customHeight="1" x14ac:dyDescent="0.2">
      <c r="B23" s="822" t="s">
        <v>7</v>
      </c>
      <c r="C23" s="75">
        <v>4</v>
      </c>
      <c r="D23" s="1183" t="s">
        <v>466</v>
      </c>
      <c r="E23" s="1240"/>
      <c r="F23" s="1240"/>
      <c r="G23" s="1241"/>
      <c r="H23" s="883" t="s">
        <v>31</v>
      </c>
      <c r="I23" s="77" t="s">
        <v>72</v>
      </c>
      <c r="J23" s="155">
        <f t="shared" si="3"/>
        <v>0</v>
      </c>
      <c r="K23" s="937"/>
      <c r="L23" s="941">
        <f t="shared" si="1"/>
        <v>0</v>
      </c>
      <c r="M23" s="928">
        <f t="shared" si="2"/>
        <v>0</v>
      </c>
      <c r="N23" s="889"/>
      <c r="O23" s="903">
        <f t="shared" si="0"/>
        <v>0</v>
      </c>
    </row>
    <row r="24" spans="2:15" ht="18.75" customHeight="1" x14ac:dyDescent="0.2">
      <c r="B24" s="822" t="s">
        <v>7</v>
      </c>
      <c r="C24" s="782">
        <v>0</v>
      </c>
      <c r="D24" s="1428" t="s">
        <v>217</v>
      </c>
      <c r="E24" s="1428"/>
      <c r="F24" s="1429" t="str">
        <f>IF(SUM(C24:C28)=O11,"GC 76000 PA ($" &amp;O11 &amp; " for every 10) breakdown per local board of supervisor resolution (BOS).","ERROR! GC 76000 PA total is not $" &amp;O11&amp; ". Check Court's board resolution.")</f>
        <v>ERROR! GC 76000 PA total is not $7. Check Court's board resolution.</v>
      </c>
      <c r="G24" s="1430"/>
      <c r="H24" s="901" t="s">
        <v>32</v>
      </c>
      <c r="I24" s="84" t="s">
        <v>64</v>
      </c>
      <c r="J24" s="155">
        <f t="shared" si="3"/>
        <v>0</v>
      </c>
      <c r="K24" s="936">
        <f>IF(C24&gt;0,1,)</f>
        <v>0</v>
      </c>
      <c r="L24" s="941">
        <f t="shared" si="1"/>
        <v>0</v>
      </c>
      <c r="M24" s="928">
        <f t="shared" si="2"/>
        <v>0</v>
      </c>
      <c r="N24" s="889"/>
      <c r="O24" s="903">
        <f t="shared" si="0"/>
        <v>0</v>
      </c>
    </row>
    <row r="25" spans="2:15" ht="18.75" customHeight="1" x14ac:dyDescent="0.2">
      <c r="B25" s="822" t="s">
        <v>7</v>
      </c>
      <c r="C25" s="782">
        <v>0</v>
      </c>
      <c r="D25" s="1428" t="s">
        <v>218</v>
      </c>
      <c r="E25" s="1428"/>
      <c r="F25" s="1431"/>
      <c r="G25" s="1432"/>
      <c r="H25" s="901" t="s">
        <v>32</v>
      </c>
      <c r="I25" s="84" t="s">
        <v>35</v>
      </c>
      <c r="J25" s="155">
        <f t="shared" si="3"/>
        <v>0</v>
      </c>
      <c r="K25" s="936">
        <f>IF(C25&gt;0,1,)</f>
        <v>0</v>
      </c>
      <c r="L25" s="941">
        <f t="shared" si="1"/>
        <v>0</v>
      </c>
      <c r="M25" s="928">
        <f t="shared" si="2"/>
        <v>0</v>
      </c>
      <c r="N25" s="889"/>
      <c r="O25" s="903">
        <f t="shared" si="0"/>
        <v>0</v>
      </c>
    </row>
    <row r="26" spans="2:15" ht="18" customHeight="1" x14ac:dyDescent="0.2">
      <c r="B26" s="822" t="s">
        <v>7</v>
      </c>
      <c r="C26" s="782">
        <v>0</v>
      </c>
      <c r="D26" s="1428" t="s">
        <v>219</v>
      </c>
      <c r="E26" s="1428"/>
      <c r="F26" s="1431"/>
      <c r="G26" s="1432"/>
      <c r="H26" s="901" t="s">
        <v>32</v>
      </c>
      <c r="I26" s="84" t="s">
        <v>65</v>
      </c>
      <c r="J26" s="155">
        <f t="shared" si="3"/>
        <v>0</v>
      </c>
      <c r="K26" s="936">
        <f>IF(C26&gt;0,$E$11*2,)</f>
        <v>0</v>
      </c>
      <c r="L26" s="941">
        <f t="shared" si="1"/>
        <v>0</v>
      </c>
      <c r="M26" s="928">
        <f t="shared" si="2"/>
        <v>0</v>
      </c>
      <c r="N26" s="889"/>
      <c r="O26" s="903">
        <f t="shared" si="0"/>
        <v>0</v>
      </c>
    </row>
    <row r="27" spans="2:15" ht="17.25" customHeight="1" x14ac:dyDescent="0.2">
      <c r="B27" s="822" t="s">
        <v>7</v>
      </c>
      <c r="C27" s="782">
        <v>0</v>
      </c>
      <c r="D27" s="1428" t="s">
        <v>401</v>
      </c>
      <c r="E27" s="1428"/>
      <c r="F27" s="1431"/>
      <c r="G27" s="1432"/>
      <c r="H27" s="901" t="s">
        <v>32</v>
      </c>
      <c r="I27" s="84" t="s">
        <v>65</v>
      </c>
      <c r="J27" s="155">
        <f>$E$11*C27</f>
        <v>0</v>
      </c>
      <c r="K27" s="937"/>
      <c r="L27" s="941">
        <f>IF(B27="Y",K27* 2%,0)</f>
        <v>0</v>
      </c>
      <c r="M27" s="928">
        <f>K27-L27</f>
        <v>0</v>
      </c>
      <c r="N27" s="889"/>
      <c r="O27" s="903">
        <f t="shared" si="0"/>
        <v>0</v>
      </c>
    </row>
    <row r="28" spans="2:15" ht="15" customHeight="1" x14ac:dyDescent="0.2">
      <c r="B28" s="822" t="s">
        <v>7</v>
      </c>
      <c r="C28" s="782">
        <v>0</v>
      </c>
      <c r="D28" s="1428" t="s">
        <v>254</v>
      </c>
      <c r="E28" s="1428"/>
      <c r="F28" s="1433"/>
      <c r="G28" s="1434"/>
      <c r="H28" s="901" t="s">
        <v>32</v>
      </c>
      <c r="I28" s="84"/>
      <c r="J28" s="155">
        <f>$E$11*C28</f>
        <v>0</v>
      </c>
      <c r="K28" s="937"/>
      <c r="L28" s="941">
        <f t="shared" si="1"/>
        <v>0</v>
      </c>
      <c r="M28" s="928">
        <f t="shared" si="2"/>
        <v>0</v>
      </c>
      <c r="N28" s="889"/>
      <c r="O28" s="903">
        <f t="shared" si="0"/>
        <v>0</v>
      </c>
    </row>
    <row r="29" spans="2:15" ht="15" customHeight="1" x14ac:dyDescent="0.2">
      <c r="B29" s="822" t="s">
        <v>7</v>
      </c>
      <c r="C29" s="782">
        <v>0</v>
      </c>
      <c r="D29" s="1154" t="s">
        <v>286</v>
      </c>
      <c r="E29" s="1155"/>
      <c r="F29" s="1155"/>
      <c r="G29" s="1232"/>
      <c r="H29" s="901" t="s">
        <v>32</v>
      </c>
      <c r="I29" s="84" t="s">
        <v>36</v>
      </c>
      <c r="J29" s="155">
        <f t="shared" si="3"/>
        <v>0</v>
      </c>
      <c r="K29" s="936">
        <f>IF(C29&gt;0,$E$11*2,)</f>
        <v>0</v>
      </c>
      <c r="L29" s="941">
        <f t="shared" si="1"/>
        <v>0</v>
      </c>
      <c r="M29" s="928">
        <f t="shared" si="2"/>
        <v>0</v>
      </c>
      <c r="N29" s="889"/>
      <c r="O29" s="903">
        <f t="shared" si="0"/>
        <v>0</v>
      </c>
    </row>
    <row r="30" spans="2:15" ht="15" customHeight="1" x14ac:dyDescent="0.2">
      <c r="B30" s="822" t="s">
        <v>7</v>
      </c>
      <c r="C30" s="79"/>
      <c r="D30" s="1154" t="s">
        <v>385</v>
      </c>
      <c r="E30" s="1155"/>
      <c r="F30" s="1155"/>
      <c r="G30" s="1232"/>
      <c r="H30" s="901" t="s">
        <v>31</v>
      </c>
      <c r="I30" s="84" t="s">
        <v>39</v>
      </c>
      <c r="J30" s="1042">
        <v>4</v>
      </c>
      <c r="K30" s="937"/>
      <c r="L30" s="941">
        <f>IF(B30="Y", IF($L$15="BASE-UP",#REF!*2%, IF($L$15="TOP-DOWN",#REF!* 2%,0)),0)</f>
        <v>0</v>
      </c>
      <c r="M30" s="928">
        <f>K30-L30</f>
        <v>0</v>
      </c>
      <c r="N30" s="889"/>
      <c r="O30" s="903">
        <f t="shared" si="0"/>
        <v>0</v>
      </c>
    </row>
    <row r="31" spans="2:15" ht="18.75" customHeight="1" x14ac:dyDescent="0.2">
      <c r="B31" s="822" t="s">
        <v>7</v>
      </c>
      <c r="C31" s="782">
        <v>2</v>
      </c>
      <c r="D31" s="1154" t="s">
        <v>555</v>
      </c>
      <c r="E31" s="1155"/>
      <c r="F31" s="1232"/>
      <c r="G31" s="1088" t="s">
        <v>281</v>
      </c>
      <c r="H31" s="901" t="s">
        <v>31</v>
      </c>
      <c r="I31" s="84" t="s">
        <v>37</v>
      </c>
      <c r="J31" s="155">
        <f t="shared" si="3"/>
        <v>0</v>
      </c>
      <c r="K31" s="936">
        <f>J31</f>
        <v>0</v>
      </c>
      <c r="L31" s="941">
        <f t="shared" si="1"/>
        <v>0</v>
      </c>
      <c r="M31" s="928">
        <f t="shared" si="2"/>
        <v>0</v>
      </c>
      <c r="N31" s="889"/>
      <c r="O31" s="903">
        <f t="shared" si="0"/>
        <v>0</v>
      </c>
    </row>
    <row r="32" spans="2:15" ht="15" customHeight="1" x14ac:dyDescent="0.2">
      <c r="B32" s="822" t="s">
        <v>7</v>
      </c>
      <c r="C32" s="179">
        <f>5-C31</f>
        <v>3</v>
      </c>
      <c r="D32" s="1154" t="s">
        <v>556</v>
      </c>
      <c r="E32" s="1155"/>
      <c r="F32" s="1232"/>
      <c r="G32" s="1089"/>
      <c r="H32" s="901" t="s">
        <v>31</v>
      </c>
      <c r="I32" s="84" t="s">
        <v>197</v>
      </c>
      <c r="J32" s="155">
        <f t="shared" si="3"/>
        <v>0</v>
      </c>
      <c r="K32" s="936">
        <f>J32</f>
        <v>0</v>
      </c>
      <c r="L32" s="941">
        <f>IF(B32="Y",#REF!* 2%,0)</f>
        <v>0</v>
      </c>
      <c r="M32" s="928">
        <f t="shared" si="2"/>
        <v>0</v>
      </c>
      <c r="N32" s="889"/>
      <c r="O32" s="903">
        <f t="shared" si="0"/>
        <v>0</v>
      </c>
    </row>
    <row r="33" spans="2:18" s="964" customFormat="1" ht="15" customHeight="1" x14ac:dyDescent="0.2">
      <c r="B33" s="822" t="s">
        <v>7</v>
      </c>
      <c r="C33" s="75"/>
      <c r="D33" s="1154" t="s">
        <v>220</v>
      </c>
      <c r="E33" s="1155"/>
      <c r="F33" s="1155"/>
      <c r="G33" s="1232"/>
      <c r="H33" s="963" t="s">
        <v>31</v>
      </c>
      <c r="I33" s="84" t="s">
        <v>10</v>
      </c>
      <c r="J33" s="155">
        <f>E10*20%</f>
        <v>0</v>
      </c>
      <c r="K33" s="936">
        <f>J33</f>
        <v>0</v>
      </c>
      <c r="L33" s="941"/>
      <c r="M33" s="928">
        <f>K33-L33</f>
        <v>0</v>
      </c>
      <c r="N33" s="889"/>
      <c r="O33" s="823">
        <f>IF($O$47=0,,K33)</f>
        <v>0</v>
      </c>
    </row>
    <row r="34" spans="2:18" ht="15" customHeight="1" x14ac:dyDescent="0.2">
      <c r="B34" s="822"/>
      <c r="C34" s="86"/>
      <c r="D34" s="1229" t="s">
        <v>221</v>
      </c>
      <c r="E34" s="1230"/>
      <c r="F34" s="1230"/>
      <c r="G34" s="1231"/>
      <c r="H34" s="703"/>
      <c r="I34" s="88"/>
      <c r="J34" s="157">
        <f>SUM(J14:J33)</f>
        <v>4</v>
      </c>
      <c r="K34" s="906">
        <f>SUM(K14:K33)</f>
        <v>0</v>
      </c>
      <c r="L34" s="942">
        <f t="shared" ref="L34" si="4">SUM(L14:L32)</f>
        <v>0</v>
      </c>
      <c r="M34" s="929">
        <f>SUM(M14:M33)</f>
        <v>4</v>
      </c>
      <c r="N34" s="891">
        <f>SUM(N14:N32)</f>
        <v>0</v>
      </c>
      <c r="O34" s="904">
        <f>IF($S$47=0,,$S$15*I34)</f>
        <v>0</v>
      </c>
    </row>
    <row r="35" spans="2:18" ht="15" customHeight="1" x14ac:dyDescent="0.2">
      <c r="B35" s="822" t="s">
        <v>7</v>
      </c>
      <c r="C35" s="75"/>
      <c r="D35" s="1154" t="s">
        <v>419</v>
      </c>
      <c r="E35" s="1155"/>
      <c r="F35" s="1155"/>
      <c r="G35" s="1232"/>
      <c r="H35" s="949" t="s">
        <v>31</v>
      </c>
      <c r="I35" s="84"/>
      <c r="J35" s="1042">
        <v>40</v>
      </c>
      <c r="K35" s="937">
        <f>J35</f>
        <v>40</v>
      </c>
      <c r="L35" s="941">
        <f>IF(B35="Y", IF($L$15="BASE-UP",#REF!*2%, IF($L$15="TOP-DOWN",#REF!* 2%,0)),0)</f>
        <v>0</v>
      </c>
      <c r="M35" s="928">
        <f>K35-L35</f>
        <v>40</v>
      </c>
      <c r="N35" s="889"/>
      <c r="O35" s="823">
        <f t="shared" ref="O35:O42" si="5">IF($O$47=0,,K35)</f>
        <v>0</v>
      </c>
    </row>
    <row r="36" spans="2:18" ht="18" x14ac:dyDescent="0.25">
      <c r="B36" s="947" t="s">
        <v>7</v>
      </c>
      <c r="C36" s="948"/>
      <c r="D36" s="1422" t="s">
        <v>259</v>
      </c>
      <c r="E36" s="1423"/>
      <c r="F36" s="1423"/>
      <c r="G36" s="1424"/>
      <c r="H36" s="949" t="s">
        <v>31</v>
      </c>
      <c r="I36" s="950" t="s">
        <v>197</v>
      </c>
      <c r="J36" s="1043">
        <v>35</v>
      </c>
      <c r="K36" s="951">
        <f t="shared" ref="K36:K42" si="6">J36</f>
        <v>35</v>
      </c>
      <c r="L36" s="952">
        <f>IF(B36="Y", IF($L$15="BASE-UP",#REF!*2%, IF($L$15="TOP-DOWN",#REF!* 2%,0)),0)</f>
        <v>0</v>
      </c>
      <c r="M36" s="953">
        <f t="shared" ref="M36:M43" si="7">K36-L36</f>
        <v>35</v>
      </c>
      <c r="N36" s="889"/>
      <c r="O36" s="954">
        <f t="shared" si="5"/>
        <v>0</v>
      </c>
      <c r="R36" s="907"/>
    </row>
    <row r="37" spans="2:18" ht="18" x14ac:dyDescent="0.25">
      <c r="B37" s="960" t="s">
        <v>7</v>
      </c>
      <c r="C37" s="75"/>
      <c r="D37" s="1233" t="s">
        <v>292</v>
      </c>
      <c r="E37" s="1234"/>
      <c r="F37" s="1234"/>
      <c r="G37" s="1235"/>
      <c r="H37" s="704" t="s">
        <v>32</v>
      </c>
      <c r="I37" s="908"/>
      <c r="J37" s="890">
        <f>49*49%</f>
        <v>24.009999999999998</v>
      </c>
      <c r="K37" s="937">
        <f t="shared" si="6"/>
        <v>24.009999999999998</v>
      </c>
      <c r="L37" s="961">
        <f>IF(B37="Y", IF($L$15="BASE-UP",#REF!*2%, IF($L$15="TOP-DOWN",#REF!* 2%,0)),0)</f>
        <v>0</v>
      </c>
      <c r="M37" s="928">
        <f t="shared" si="7"/>
        <v>24.009999999999998</v>
      </c>
      <c r="N37" s="962"/>
      <c r="O37" s="823">
        <f t="shared" si="5"/>
        <v>0</v>
      </c>
      <c r="R37" s="907"/>
    </row>
    <row r="38" spans="2:18" ht="15" x14ac:dyDescent="0.2">
      <c r="B38" s="822" t="s">
        <v>7</v>
      </c>
      <c r="C38" s="69"/>
      <c r="D38" s="1425" t="s">
        <v>293</v>
      </c>
      <c r="E38" s="1426"/>
      <c r="F38" s="1426"/>
      <c r="G38" s="1427"/>
      <c r="H38" s="955" t="s">
        <v>31</v>
      </c>
      <c r="I38" s="956"/>
      <c r="J38" s="957">
        <f>49*51%</f>
        <v>24.990000000000002</v>
      </c>
      <c r="K38" s="162">
        <f t="shared" si="6"/>
        <v>24.990000000000002</v>
      </c>
      <c r="L38" s="941">
        <f>IF(B38="Y", IF($L$15="BASE-UP",#REF!*2%, IF($L$15="TOP-DOWN",#REF!* 2%,0)),0)</f>
        <v>0</v>
      </c>
      <c r="M38" s="958">
        <f t="shared" si="7"/>
        <v>24.990000000000002</v>
      </c>
      <c r="N38" s="889"/>
      <c r="O38" s="959">
        <f t="shared" si="5"/>
        <v>0</v>
      </c>
    </row>
    <row r="39" spans="2:18" ht="15" x14ac:dyDescent="0.2">
      <c r="B39" s="822" t="s">
        <v>7</v>
      </c>
      <c r="C39" s="75"/>
      <c r="D39" s="1233" t="s">
        <v>427</v>
      </c>
      <c r="E39" s="1234"/>
      <c r="F39" s="1234"/>
      <c r="G39" s="1235"/>
      <c r="H39" s="704" t="s">
        <v>230</v>
      </c>
      <c r="I39" s="908"/>
      <c r="J39" s="890">
        <v>0</v>
      </c>
      <c r="K39" s="937">
        <f t="shared" si="6"/>
        <v>0</v>
      </c>
      <c r="L39" s="941">
        <f>IF(B39="Y", IF($L$15="BASE-UP",#REF!*2%, IF($L$15="TOP-DOWN",#REF!* 2%,0)),0)</f>
        <v>0</v>
      </c>
      <c r="M39" s="928">
        <f>K39-L39</f>
        <v>0</v>
      </c>
      <c r="N39" s="889"/>
      <c r="O39" s="823">
        <f t="shared" si="5"/>
        <v>0</v>
      </c>
    </row>
    <row r="40" spans="2:18" ht="15" customHeight="1" x14ac:dyDescent="0.2">
      <c r="B40" s="822" t="s">
        <v>7</v>
      </c>
      <c r="C40" s="75"/>
      <c r="D40" s="1154" t="s">
        <v>551</v>
      </c>
      <c r="E40" s="1234"/>
      <c r="F40" s="1234"/>
      <c r="G40" s="1235"/>
      <c r="H40" s="704" t="s">
        <v>31</v>
      </c>
      <c r="I40" s="908"/>
      <c r="J40" s="890">
        <v>0</v>
      </c>
      <c r="K40" s="937">
        <f t="shared" si="6"/>
        <v>0</v>
      </c>
      <c r="L40" s="941"/>
      <c r="M40" s="928">
        <f t="shared" si="7"/>
        <v>0</v>
      </c>
      <c r="N40" s="889"/>
      <c r="O40" s="823">
        <f t="shared" si="5"/>
        <v>0</v>
      </c>
    </row>
    <row r="41" spans="2:18" ht="15" x14ac:dyDescent="0.2">
      <c r="B41" s="822" t="s">
        <v>7</v>
      </c>
      <c r="C41" s="93"/>
      <c r="D41" s="1233" t="s">
        <v>421</v>
      </c>
      <c r="E41" s="1234"/>
      <c r="F41" s="1234"/>
      <c r="G41" s="1235"/>
      <c r="H41" s="704" t="s">
        <v>230</v>
      </c>
      <c r="I41" s="908" t="s">
        <v>24</v>
      </c>
      <c r="J41" s="890">
        <v>0</v>
      </c>
      <c r="K41" s="937">
        <f t="shared" si="6"/>
        <v>0</v>
      </c>
      <c r="L41" s="941">
        <f>IF(B41="Y", IF($L$15="BASE-UP",#REF!*2%, IF($L$15="TOP-DOWN",#REF!* 2%,0)),0)</f>
        <v>0</v>
      </c>
      <c r="M41" s="928">
        <f t="shared" si="7"/>
        <v>0</v>
      </c>
      <c r="N41" s="889"/>
      <c r="O41" s="823">
        <f t="shared" si="5"/>
        <v>0</v>
      </c>
    </row>
    <row r="42" spans="2:18" ht="15" x14ac:dyDescent="0.2">
      <c r="B42" s="822" t="s">
        <v>7</v>
      </c>
      <c r="C42" s="93"/>
      <c r="D42" s="1233" t="s">
        <v>225</v>
      </c>
      <c r="E42" s="1234"/>
      <c r="F42" s="1234"/>
      <c r="G42" s="1235"/>
      <c r="H42" s="704" t="s">
        <v>31</v>
      </c>
      <c r="I42" s="908" t="s">
        <v>80</v>
      </c>
      <c r="J42" s="890">
        <v>0</v>
      </c>
      <c r="K42" s="937">
        <f t="shared" si="6"/>
        <v>0</v>
      </c>
      <c r="L42" s="941">
        <f>IF(B42="Y", IF($L$15="BASE-UP",#REF!*2%, IF($L$15="TOP-DOWN",#REF!* 2%,0)),0)</f>
        <v>0</v>
      </c>
      <c r="M42" s="928">
        <f t="shared" si="7"/>
        <v>0</v>
      </c>
      <c r="N42" s="889"/>
      <c r="O42" s="823">
        <f t="shared" si="5"/>
        <v>0</v>
      </c>
    </row>
    <row r="43" spans="2:18" ht="15" x14ac:dyDescent="0.2">
      <c r="B43" s="822"/>
      <c r="C43" s="93"/>
      <c r="D43" s="1233" t="s">
        <v>224</v>
      </c>
      <c r="E43" s="1234"/>
      <c r="F43" s="1234"/>
      <c r="G43" s="1235"/>
      <c r="H43" s="704" t="s">
        <v>31</v>
      </c>
      <c r="I43" s="908" t="s">
        <v>41</v>
      </c>
      <c r="J43" s="97"/>
      <c r="K43" s="938"/>
      <c r="L43" s="943"/>
      <c r="M43" s="928">
        <f t="shared" si="7"/>
        <v>0</v>
      </c>
      <c r="N43" s="889"/>
      <c r="O43" s="823">
        <f t="shared" ref="O43" si="8">IF($S$47=0,,G43)</f>
        <v>0</v>
      </c>
    </row>
    <row r="44" spans="2:18" ht="15" x14ac:dyDescent="0.2">
      <c r="B44" s="826"/>
      <c r="C44" s="909"/>
      <c r="D44" s="909"/>
      <c r="E44" s="909"/>
      <c r="F44" s="910"/>
      <c r="G44" s="910"/>
      <c r="H44" s="911"/>
      <c r="I44" s="911"/>
      <c r="J44" s="911"/>
      <c r="K44" s="912"/>
      <c r="L44" s="944">
        <f>SUM(L18:L43)</f>
        <v>0</v>
      </c>
      <c r="M44" s="930"/>
      <c r="N44" s="911"/>
      <c r="O44" s="913"/>
    </row>
    <row r="45" spans="2:18" ht="15" hidden="1" customHeight="1" x14ac:dyDescent="0.2">
      <c r="B45" s="831" t="s">
        <v>8</v>
      </c>
      <c r="C45" s="909"/>
      <c r="D45" s="909"/>
      <c r="E45" s="909"/>
      <c r="F45" s="910"/>
      <c r="G45" s="910"/>
      <c r="H45" s="911"/>
      <c r="I45" s="911"/>
      <c r="J45" s="911"/>
      <c r="K45" s="912"/>
      <c r="L45" s="944"/>
      <c r="M45" s="930"/>
      <c r="N45" s="911"/>
      <c r="O45" s="914"/>
    </row>
    <row r="46" spans="2:18" ht="16.5" thickBot="1" x14ac:dyDescent="0.25">
      <c r="B46" s="832"/>
      <c r="C46" s="915"/>
      <c r="D46" s="915"/>
      <c r="E46" s="915"/>
      <c r="F46" s="916"/>
      <c r="G46" s="917" t="s">
        <v>81</v>
      </c>
      <c r="H46" s="918"/>
      <c r="I46" s="919" t="s">
        <v>1</v>
      </c>
      <c r="J46" s="920">
        <f>SUM(J34:J44)</f>
        <v>128</v>
      </c>
      <c r="K46" s="939">
        <f>SUM(K34:K43)</f>
        <v>124</v>
      </c>
      <c r="L46" s="945"/>
      <c r="M46" s="931">
        <f>SUM(M34:M44)</f>
        <v>128</v>
      </c>
      <c r="N46" s="921"/>
      <c r="O46" s="922">
        <v>0</v>
      </c>
    </row>
    <row r="47" spans="2:18" x14ac:dyDescent="0.2">
      <c r="O47" s="900"/>
    </row>
  </sheetData>
  <mergeCells count="77">
    <mergeCell ref="M3:N3"/>
    <mergeCell ref="B4:D4"/>
    <mergeCell ref="E4:F4"/>
    <mergeCell ref="G4:H4"/>
    <mergeCell ref="J4:K4"/>
    <mergeCell ref="L4:N4"/>
    <mergeCell ref="B5:D5"/>
    <mergeCell ref="E5:F5"/>
    <mergeCell ref="G5:H5"/>
    <mergeCell ref="J5:K5"/>
    <mergeCell ref="L5:N5"/>
    <mergeCell ref="B6:D6"/>
    <mergeCell ref="E6:F6"/>
    <mergeCell ref="G6:H6"/>
    <mergeCell ref="J6:K6"/>
    <mergeCell ref="L6:N6"/>
    <mergeCell ref="B7:D7"/>
    <mergeCell ref="E7:F7"/>
    <mergeCell ref="G7:H7"/>
    <mergeCell ref="J7:K7"/>
    <mergeCell ref="L7:N7"/>
    <mergeCell ref="B8:D8"/>
    <mergeCell ref="E8:F8"/>
    <mergeCell ref="G8:H8"/>
    <mergeCell ref="J8:K8"/>
    <mergeCell ref="L8:N8"/>
    <mergeCell ref="L9:N9"/>
    <mergeCell ref="B10:D10"/>
    <mergeCell ref="E10:F10"/>
    <mergeCell ref="G10:H10"/>
    <mergeCell ref="J10:K10"/>
    <mergeCell ref="L10:N10"/>
    <mergeCell ref="B9:D9"/>
    <mergeCell ref="E9:F9"/>
    <mergeCell ref="G9:H9"/>
    <mergeCell ref="J9:K9"/>
    <mergeCell ref="B11:D11"/>
    <mergeCell ref="E11:F11"/>
    <mergeCell ref="G11:H11"/>
    <mergeCell ref="J11:K11"/>
    <mergeCell ref="L11:N11"/>
    <mergeCell ref="D17:G17"/>
    <mergeCell ref="L13:M13"/>
    <mergeCell ref="D14:G15"/>
    <mergeCell ref="J14:J15"/>
    <mergeCell ref="L14:L15"/>
    <mergeCell ref="M14:M15"/>
    <mergeCell ref="D21:G21"/>
    <mergeCell ref="D22:G22"/>
    <mergeCell ref="D23:G23"/>
    <mergeCell ref="C18:C19"/>
    <mergeCell ref="D18:G18"/>
    <mergeCell ref="D19:G19"/>
    <mergeCell ref="D20:G20"/>
    <mergeCell ref="D32:F32"/>
    <mergeCell ref="D24:E24"/>
    <mergeCell ref="F24:G28"/>
    <mergeCell ref="D25:E25"/>
    <mergeCell ref="D26:E26"/>
    <mergeCell ref="D27:E27"/>
    <mergeCell ref="D28:E28"/>
    <mergeCell ref="B1:O1"/>
    <mergeCell ref="D42:G42"/>
    <mergeCell ref="D43:G43"/>
    <mergeCell ref="D39:G39"/>
    <mergeCell ref="D40:G40"/>
    <mergeCell ref="D41:G41"/>
    <mergeCell ref="D36:G36"/>
    <mergeCell ref="D37:G37"/>
    <mergeCell ref="D38:G38"/>
    <mergeCell ref="D34:G34"/>
    <mergeCell ref="D33:G33"/>
    <mergeCell ref="D35:G35"/>
    <mergeCell ref="D29:G29"/>
    <mergeCell ref="D30:G30"/>
    <mergeCell ref="D31:F31"/>
    <mergeCell ref="G31:G32"/>
  </mergeCells>
  <conditionalFormatting sqref="J27:M27 J18:K26 J28:K29 K30 J31:K33 L17:M26 O35:O43 O17:O33 L35:M43 L28:M33">
    <cfRule type="cellIs" dxfId="118" priority="5" stopIfTrue="1" operator="equal">
      <formula>0</formula>
    </cfRule>
  </conditionalFormatting>
  <conditionalFormatting sqref="I17:I23 I29 I31:I33">
    <cfRule type="expression" dxfId="117" priority="4" stopIfTrue="1">
      <formula>MOD(ROW(),2)=0</formula>
    </cfRule>
  </conditionalFormatting>
  <conditionalFormatting sqref="I24:I29">
    <cfRule type="expression" dxfId="116" priority="3" stopIfTrue="1">
      <formula>MOD(ROW(), 2)=0</formula>
    </cfRule>
  </conditionalFormatting>
  <conditionalFormatting sqref="O17:O43">
    <cfRule type="cellIs" dxfId="115" priority="2" operator="equal">
      <formula>0</formula>
    </cfRule>
  </conditionalFormatting>
  <conditionalFormatting sqref="F24">
    <cfRule type="cellIs" dxfId="114" priority="1" operator="notEqual">
      <formula>"GC 76000 PA ($" &amp;O11 &amp;" for every 10) breakdown per local board of supervisor resolution (BOS)."</formula>
    </cfRule>
  </conditionalFormatting>
  <pageMargins left="0.7" right="0.7" top="0.75" bottom="0.75" header="0.3" footer="0.3"/>
  <pageSetup scale="58" orientation="portrait" r:id="rId1"/>
  <ignoredErrors>
    <ignoredError sqref="O34 K34 M34" formula="1"/>
    <ignoredError sqref="N34 J37:J38" unlockedFormula="1"/>
    <ignoredError sqref="O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20866" r:id="rId4" name="Button 2">
              <controlPr defaultSize="0" print="0" autoFill="0" autoPict="0" macro="[2]!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67" r:id="rId5" name="Button 3">
              <controlPr defaultSize="0" print="0" autoFill="0" autoPict="0" macro="[2]!mcrEnableTwoPercentNonDUI">
                <anchor moveWithCells="1">
                  <from>
                    <xdr:col>1</xdr:col>
                    <xdr:colOff>9525</xdr:colOff>
                    <xdr:row>13</xdr:row>
                    <xdr:rowOff>638175</xdr:rowOff>
                  </from>
                  <to>
                    <xdr:col>2</xdr:col>
                    <xdr:colOff>0</xdr:colOff>
                    <xdr:row>14</xdr:row>
                    <xdr:rowOff>219075</xdr:rowOff>
                  </to>
                </anchor>
              </controlPr>
            </control>
          </mc:Choice>
        </mc:AlternateContent>
        <mc:AlternateContent xmlns:mc="http://schemas.openxmlformats.org/markup-compatibility/2006">
          <mc:Choice Requires="x14">
            <control shapeId="420873" r:id="rId6" name="Button 9">
              <controlPr defaultSize="0" print="0" autoFill="0" autoPict="0" macro="[3]!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74" r:id="rId7" name="Button 10">
              <controlPr defaultSize="0" print="0" autoFill="0" autoPict="0" macro="[3]!mcrEnableTwoPercentNonDUI">
                <anchor moveWithCells="1">
                  <from>
                    <xdr:col>1</xdr:col>
                    <xdr:colOff>9525</xdr:colOff>
                    <xdr:row>13</xdr:row>
                    <xdr:rowOff>638175</xdr:rowOff>
                  </from>
                  <to>
                    <xdr:col>1</xdr:col>
                    <xdr:colOff>276225</xdr:colOff>
                    <xdr:row>14</xdr:row>
                    <xdr:rowOff>190500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187" t="s">
        <v>288</v>
      </c>
      <c r="B1" s="1188"/>
      <c r="C1" s="1188"/>
      <c r="D1" s="1188"/>
      <c r="E1" s="1188"/>
      <c r="F1" s="1188"/>
      <c r="G1" s="1188"/>
      <c r="H1" s="1188"/>
      <c r="I1" s="1188"/>
      <c r="J1" s="1188"/>
      <c r="K1" s="1188"/>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414"/>
      <c r="N3" s="1513"/>
      <c r="O3" s="786"/>
      <c r="P3" s="175"/>
      <c r="Q3" s="1208" t="s">
        <v>261</v>
      </c>
      <c r="R3" s="1209"/>
      <c r="S3" s="1209"/>
      <c r="T3" s="1209"/>
      <c r="U3" s="1209"/>
      <c r="V3" s="1209"/>
      <c r="W3" s="1210"/>
      <c r="Y3" s="174" t="s">
        <v>250</v>
      </c>
      <c r="Z3" s="132"/>
    </row>
    <row r="4" spans="1:28" s="57" customFormat="1" ht="15.75" x14ac:dyDescent="0.2">
      <c r="A4" s="1197" t="s">
        <v>231</v>
      </c>
      <c r="B4" s="1197"/>
      <c r="C4" s="1197"/>
      <c r="D4" s="1495">
        <f>L1</f>
        <v>0</v>
      </c>
      <c r="E4" s="1496"/>
      <c r="F4" s="1497" t="s">
        <v>28</v>
      </c>
      <c r="G4" s="1217"/>
      <c r="H4" s="208"/>
      <c r="I4" s="1224"/>
      <c r="J4" s="1379"/>
      <c r="K4" s="1225"/>
      <c r="L4" s="1348" t="s">
        <v>257</v>
      </c>
      <c r="M4" s="1348"/>
      <c r="N4" s="1217"/>
      <c r="O4" s="209"/>
      <c r="P4" s="56"/>
      <c r="Q4" s="1211" t="s">
        <v>236</v>
      </c>
      <c r="R4" s="1212"/>
      <c r="S4" s="1212"/>
      <c r="T4" s="1212"/>
      <c r="U4" s="1212"/>
      <c r="V4" s="1212"/>
      <c r="W4" s="1213"/>
      <c r="Y4" s="268" t="s">
        <v>308</v>
      </c>
      <c r="Z4" s="269" t="s">
        <v>309</v>
      </c>
      <c r="AA4" s="269" t="s">
        <v>310</v>
      </c>
    </row>
    <row r="5" spans="1:28" s="57" customFormat="1" ht="15.75" x14ac:dyDescent="0.2">
      <c r="A5" s="1201" t="s">
        <v>4</v>
      </c>
      <c r="B5" s="1201"/>
      <c r="C5" s="1201"/>
      <c r="D5" s="1221"/>
      <c r="E5" s="1193"/>
      <c r="F5" s="1371" t="s">
        <v>244</v>
      </c>
      <c r="G5" s="1220"/>
      <c r="H5" s="185"/>
      <c r="I5" s="1158"/>
      <c r="J5" s="1357"/>
      <c r="K5" s="1159"/>
      <c r="L5" s="1338" t="s">
        <v>22</v>
      </c>
      <c r="M5" s="1338"/>
      <c r="N5" s="1220"/>
      <c r="O5" s="58"/>
      <c r="P5" s="56"/>
      <c r="Q5" s="1339" t="s">
        <v>302</v>
      </c>
      <c r="R5" s="1340"/>
      <c r="S5" s="1340"/>
      <c r="T5" s="1340"/>
      <c r="U5" s="1340"/>
      <c r="V5" s="1340"/>
      <c r="W5" s="1341"/>
      <c r="Y5" s="172" t="s">
        <v>31</v>
      </c>
      <c r="Z5" s="176">
        <f>SUMIF($G$17:$G$45,"STATE",$M$17:$M$45)</f>
        <v>102.99000000000001</v>
      </c>
      <c r="AA5" s="176">
        <f>SUMIF($G$17:$G$45,"STATE",$S$17:$S$45)</f>
        <v>0</v>
      </c>
    </row>
    <row r="6" spans="1:28" s="57" customFormat="1" ht="16.5" thickBot="1" x14ac:dyDescent="0.25">
      <c r="A6" s="1201" t="s">
        <v>12</v>
      </c>
      <c r="B6" s="1201"/>
      <c r="C6" s="1201"/>
      <c r="D6" s="1221"/>
      <c r="E6" s="1333"/>
      <c r="F6" s="1371" t="s">
        <v>20</v>
      </c>
      <c r="G6" s="1220"/>
      <c r="H6" s="185"/>
      <c r="I6" s="1158" t="s">
        <v>271</v>
      </c>
      <c r="J6" s="1357"/>
      <c r="K6" s="1159"/>
      <c r="L6" s="1334" t="s">
        <v>233</v>
      </c>
      <c r="M6" s="1334"/>
      <c r="N6" s="1498"/>
      <c r="O6" s="212">
        <f>O4+O5*10</f>
        <v>0</v>
      </c>
      <c r="P6" s="56"/>
      <c r="Q6" s="1335" t="s">
        <v>573</v>
      </c>
      <c r="R6" s="1336"/>
      <c r="S6" s="1336"/>
      <c r="T6" s="1336"/>
      <c r="U6" s="1336"/>
      <c r="V6" s="1336"/>
      <c r="W6" s="1337"/>
      <c r="Y6" s="172" t="s">
        <v>32</v>
      </c>
      <c r="Z6" s="176">
        <f>SUMIF($G$17:$G$45,"county",$M$17:$M$45)</f>
        <v>28.00999999999998</v>
      </c>
      <c r="AA6" s="176">
        <f>SUMIF($G$17:$G$45,"county",$S$17:$S$45)</f>
        <v>0</v>
      </c>
    </row>
    <row r="7" spans="1:28" s="57" customFormat="1" ht="16.5" thickBot="1" x14ac:dyDescent="0.25">
      <c r="A7" s="1201" t="s">
        <v>5</v>
      </c>
      <c r="B7" s="1201"/>
      <c r="C7" s="1201"/>
      <c r="D7" s="1158"/>
      <c r="E7" s="1193"/>
      <c r="F7" s="1362" t="s">
        <v>21</v>
      </c>
      <c r="G7" s="1173"/>
      <c r="H7" s="186"/>
      <c r="I7" s="1156" t="s">
        <v>66</v>
      </c>
      <c r="J7" s="1157"/>
      <c r="K7" s="1499"/>
      <c r="L7" s="1223"/>
      <c r="M7" s="1223"/>
      <c r="N7" s="1223"/>
      <c r="O7" s="213"/>
      <c r="P7" s="56"/>
      <c r="Q7" s="1251" t="s">
        <v>235</v>
      </c>
      <c r="R7" s="1252"/>
      <c r="S7" s="1252"/>
      <c r="T7" s="1252"/>
      <c r="U7" s="1252"/>
      <c r="V7" s="1252"/>
      <c r="W7" s="1253"/>
      <c r="Y7" s="172" t="s">
        <v>52</v>
      </c>
      <c r="Z7" s="176">
        <f>SUMIF($G$17:$G$45,"city",$M$17:$M$45)</f>
        <v>0</v>
      </c>
      <c r="AA7" s="176">
        <f>SUMIF($G$17:$G$45,"city",$S$17:$S$45)</f>
        <v>0</v>
      </c>
    </row>
    <row r="8" spans="1:28" s="57" customFormat="1" ht="15.75" customHeight="1" x14ac:dyDescent="0.2">
      <c r="A8" s="1327" t="s">
        <v>54</v>
      </c>
      <c r="B8" s="1327"/>
      <c r="C8" s="1327"/>
      <c r="D8" s="1328">
        <v>1</v>
      </c>
      <c r="E8" s="1372"/>
      <c r="F8" s="1378" t="s">
        <v>253</v>
      </c>
      <c r="G8" s="1198"/>
      <c r="H8" s="187"/>
      <c r="I8" s="1224"/>
      <c r="J8" s="1379"/>
      <c r="K8" s="1225"/>
      <c r="L8" s="1373" t="s">
        <v>257</v>
      </c>
      <c r="M8" s="1373"/>
      <c r="N8" s="1198"/>
      <c r="O8" s="55">
        <v>0</v>
      </c>
      <c r="P8" s="56"/>
      <c r="Q8" s="1265" t="s">
        <v>303</v>
      </c>
      <c r="R8" s="1266"/>
      <c r="S8" s="1266"/>
      <c r="T8" s="1266"/>
      <c r="U8" s="1266"/>
      <c r="V8" s="1266"/>
      <c r="W8" s="1267"/>
      <c r="Y8" s="172" t="s">
        <v>230</v>
      </c>
      <c r="Z8" s="176">
        <f>SUMIF($G$17:$G$45,"court",$M$17:$M$45)</f>
        <v>0</v>
      </c>
      <c r="AA8" s="176">
        <f>SUMIF($G$17:$G$45,"court",$S$17:$S$45)</f>
        <v>0</v>
      </c>
    </row>
    <row r="9" spans="1:28" s="57" customFormat="1" ht="20.25" customHeight="1" thickBot="1" x14ac:dyDescent="0.25">
      <c r="A9" s="1327" t="s">
        <v>53</v>
      </c>
      <c r="B9" s="1327"/>
      <c r="C9" s="1327"/>
      <c r="D9" s="1189">
        <f>100%-D8</f>
        <v>0</v>
      </c>
      <c r="E9" s="1190"/>
      <c r="F9" s="1371" t="s">
        <v>244</v>
      </c>
      <c r="G9" s="1220"/>
      <c r="H9" s="185"/>
      <c r="I9" s="1158"/>
      <c r="J9" s="1357"/>
      <c r="K9" s="1159"/>
      <c r="L9" s="1338" t="s">
        <v>22</v>
      </c>
      <c r="M9" s="1338"/>
      <c r="N9" s="1220"/>
      <c r="O9" s="58"/>
      <c r="Q9" s="1268"/>
      <c r="R9" s="1269"/>
      <c r="S9" s="1269"/>
      <c r="T9" s="1269"/>
      <c r="U9" s="1269"/>
      <c r="V9" s="1269"/>
      <c r="W9" s="1270"/>
      <c r="Y9" s="153" t="s">
        <v>446</v>
      </c>
      <c r="Z9" s="176">
        <f>SUMIF($G$17:$G$45,"CNTY or CTY",$M$17:$M$45)</f>
        <v>0</v>
      </c>
      <c r="AA9" s="176">
        <f>SUMIF($G$17:$G$45,"CNTY or CTY",$S$17:$S$45)</f>
        <v>0</v>
      </c>
    </row>
    <row r="10" spans="1:28" s="57" customFormat="1" ht="16.5" customHeight="1" thickBot="1" x14ac:dyDescent="0.25">
      <c r="A10" s="1152" t="s">
        <v>276</v>
      </c>
      <c r="B10" s="1153"/>
      <c r="C10" s="1153"/>
      <c r="D10" s="1148">
        <f>O6+O10</f>
        <v>0</v>
      </c>
      <c r="E10" s="1149"/>
      <c r="F10" s="1371" t="s">
        <v>20</v>
      </c>
      <c r="G10" s="1220"/>
      <c r="H10" s="185"/>
      <c r="I10" s="1158"/>
      <c r="J10" s="1357"/>
      <c r="K10" s="1159"/>
      <c r="L10" s="1334" t="s">
        <v>233</v>
      </c>
      <c r="M10" s="1334"/>
      <c r="N10" s="1498"/>
      <c r="O10" s="212">
        <f>O8+O9*10</f>
        <v>0</v>
      </c>
      <c r="Q10" s="1506" t="s">
        <v>239</v>
      </c>
      <c r="R10" s="1312"/>
      <c r="S10" s="1312"/>
      <c r="T10" s="1312"/>
      <c r="U10" s="1312"/>
      <c r="V10" s="1312"/>
      <c r="W10" s="1507"/>
      <c r="Y10" s="249" t="s">
        <v>246</v>
      </c>
      <c r="Z10" s="148">
        <f>SUM(Z5:Z9)</f>
        <v>131</v>
      </c>
      <c r="AA10" s="148">
        <f>SUM(AA5:AA9)</f>
        <v>0</v>
      </c>
    </row>
    <row r="11" spans="1:28" s="57" customFormat="1" ht="16.5" customHeight="1" thickBot="1" x14ac:dyDescent="0.25">
      <c r="A11" s="1150" t="s">
        <v>277</v>
      </c>
      <c r="B11" s="1151"/>
      <c r="C11" s="1151"/>
      <c r="D11" s="1146">
        <f>ROUNDUP(D10/10,0)</f>
        <v>0</v>
      </c>
      <c r="E11" s="1147"/>
      <c r="F11" s="1362" t="s">
        <v>21</v>
      </c>
      <c r="G11" s="1173"/>
      <c r="H11" s="186"/>
      <c r="I11" s="1156"/>
      <c r="J11" s="1157"/>
      <c r="K11" s="1380"/>
      <c r="L11" s="1416" t="s">
        <v>568</v>
      </c>
      <c r="M11" s="1448"/>
      <c r="N11" s="1417"/>
      <c r="O11" s="780">
        <f>'1-DUI (Reduce Base)'!P11</f>
        <v>7</v>
      </c>
      <c r="Q11" s="1508" t="s">
        <v>430</v>
      </c>
      <c r="R11" s="1509"/>
      <c r="S11" s="1509"/>
      <c r="T11" s="1509"/>
      <c r="U11" s="1509"/>
      <c r="V11" s="1509"/>
      <c r="W11" s="1510"/>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300" t="s">
        <v>314</v>
      </c>
      <c r="M13" s="1301"/>
      <c r="N13" s="247"/>
      <c r="O13" s="1502" t="s">
        <v>312</v>
      </c>
      <c r="P13" s="1303"/>
      <c r="Q13" s="1304"/>
      <c r="R13" s="248"/>
      <c r="S13" s="272" t="s">
        <v>311</v>
      </c>
      <c r="T13" s="226"/>
      <c r="U13" s="158"/>
      <c r="V13" s="158"/>
      <c r="W13" s="159"/>
      <c r="X13" s="108"/>
      <c r="Y13" s="108"/>
      <c r="Z13" s="108"/>
      <c r="AA13" s="108"/>
      <c r="AB13" s="108"/>
    </row>
    <row r="14" spans="1:28" ht="50.25" customHeight="1" thickBot="1" x14ac:dyDescent="0.25">
      <c r="A14" s="112">
        <v>0.02</v>
      </c>
      <c r="B14" s="112" t="s">
        <v>58</v>
      </c>
      <c r="C14" s="1287" t="s">
        <v>226</v>
      </c>
      <c r="D14" s="1287"/>
      <c r="E14" s="1287"/>
      <c r="F14" s="1287"/>
      <c r="G14" s="113" t="s">
        <v>249</v>
      </c>
      <c r="H14" s="113" t="s">
        <v>0</v>
      </c>
      <c r="I14" s="1360" t="s">
        <v>269</v>
      </c>
      <c r="J14" s="658" t="s">
        <v>290</v>
      </c>
      <c r="K14" s="222" t="s">
        <v>294</v>
      </c>
      <c r="L14" s="1287" t="s">
        <v>6</v>
      </c>
      <c r="M14" s="1257" t="s">
        <v>304</v>
      </c>
      <c r="N14" s="67"/>
      <c r="O14" s="1256" t="s">
        <v>260</v>
      </c>
      <c r="P14" s="1257"/>
      <c r="Q14" s="120" t="s">
        <v>248</v>
      </c>
      <c r="R14" s="121"/>
      <c r="S14" s="250" t="s">
        <v>313</v>
      </c>
      <c r="T14" s="227"/>
      <c r="U14" s="207" t="s">
        <v>256</v>
      </c>
      <c r="V14" s="1289" t="s">
        <v>61</v>
      </c>
      <c r="W14" s="1291" t="s">
        <v>384</v>
      </c>
    </row>
    <row r="15" spans="1:28" ht="11.25" customHeight="1" thickBot="1" x14ac:dyDescent="0.25">
      <c r="A15" s="257"/>
      <c r="B15" s="257"/>
      <c r="C15" s="1395"/>
      <c r="D15" s="1395"/>
      <c r="E15" s="1395"/>
      <c r="F15" s="1395"/>
      <c r="G15" s="258"/>
      <c r="H15" s="258"/>
      <c r="I15" s="1399"/>
      <c r="J15" s="660"/>
      <c r="K15" s="259"/>
      <c r="L15" s="1288"/>
      <c r="M15" s="1406"/>
      <c r="N15" s="68"/>
      <c r="O15" s="1503"/>
      <c r="P15" s="1504"/>
      <c r="Q15" s="189"/>
      <c r="R15" s="121"/>
      <c r="S15" s="256">
        <f>(S35-SUM(S25:S26))/(I35-SUM(K25:K26))</f>
        <v>0</v>
      </c>
      <c r="T15" s="263"/>
      <c r="U15" s="1500" t="s">
        <v>300</v>
      </c>
      <c r="V15" s="1387"/>
      <c r="W15" s="1388"/>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501"/>
      <c r="V16" s="1387"/>
      <c r="W16" s="1505"/>
    </row>
    <row r="17" spans="1:28" s="74" customFormat="1" ht="15.75" thickTop="1" x14ac:dyDescent="0.2">
      <c r="A17" s="69" t="s">
        <v>7</v>
      </c>
      <c r="B17" s="262"/>
      <c r="C17" s="1226" t="s">
        <v>291</v>
      </c>
      <c r="D17" s="1226"/>
      <c r="E17" s="1226"/>
      <c r="F17" s="1226"/>
      <c r="G17" s="706" t="s">
        <v>32</v>
      </c>
      <c r="H17" s="71" t="s">
        <v>14</v>
      </c>
      <c r="I17" s="154"/>
      <c r="J17" s="160"/>
      <c r="K17" s="160"/>
      <c r="L17" s="162">
        <f>IF(A17="Y",(I35-K35)*2%,)</f>
        <v>0</v>
      </c>
      <c r="M17" s="198">
        <f>(I48-K48)-L17</f>
        <v>1.7999999999999829</v>
      </c>
      <c r="N17" s="164"/>
      <c r="O17" s="1511"/>
      <c r="P17" s="1512"/>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226" t="s">
        <v>289</v>
      </c>
      <c r="D18" s="1226"/>
      <c r="E18" s="1226"/>
      <c r="F18" s="1226"/>
      <c r="G18" s="695" t="str">
        <f>IF(D9&gt;0,"CITY","COUNTY")</f>
        <v>COUNTY</v>
      </c>
      <c r="H18" s="71" t="s">
        <v>14</v>
      </c>
      <c r="I18" s="154"/>
      <c r="J18" s="160"/>
      <c r="K18" s="160">
        <f>J46</f>
        <v>1.2</v>
      </c>
      <c r="L18" s="162">
        <f>IF(A18="Y",K18* 2%,0)</f>
        <v>0</v>
      </c>
      <c r="M18" s="167">
        <f>K18-L18</f>
        <v>1.2</v>
      </c>
      <c r="N18" s="164"/>
      <c r="O18" s="1183"/>
      <c r="P18" s="1184"/>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355" t="s">
        <v>241</v>
      </c>
      <c r="C19" s="1172" t="s">
        <v>307</v>
      </c>
      <c r="D19" s="1172"/>
      <c r="E19" s="1172"/>
      <c r="F19" s="1172"/>
      <c r="G19" s="694" t="s">
        <v>32</v>
      </c>
      <c r="H19" s="77" t="s">
        <v>27</v>
      </c>
      <c r="I19" s="155">
        <f>($D$10)*D8</f>
        <v>0</v>
      </c>
      <c r="J19" s="155">
        <f>I19*30%</f>
        <v>0</v>
      </c>
      <c r="K19" s="662"/>
      <c r="L19" s="162">
        <f t="shared" ref="L19:L32" si="2">IF(A19="Y",K19* 2%,0)</f>
        <v>0</v>
      </c>
      <c r="M19" s="167">
        <f t="shared" ref="M19:M34" si="3">K19-L19</f>
        <v>0</v>
      </c>
      <c r="N19" s="164"/>
      <c r="O19" s="1183"/>
      <c r="P19" s="1184"/>
      <c r="Q19" s="78"/>
      <c r="R19" s="72"/>
      <c r="S19" s="167">
        <f t="shared" si="0"/>
        <v>0</v>
      </c>
      <c r="T19" s="251"/>
      <c r="U19" s="181">
        <f t="shared" si="1"/>
        <v>0</v>
      </c>
      <c r="V19" s="651"/>
      <c r="W19" s="552"/>
      <c r="X19" s="125"/>
      <c r="Y19" s="125"/>
      <c r="Z19" s="125"/>
      <c r="AA19" s="125"/>
      <c r="AB19" s="125"/>
    </row>
    <row r="20" spans="1:28" s="74" customFormat="1" ht="15" x14ac:dyDescent="0.2">
      <c r="A20" s="69" t="s">
        <v>7</v>
      </c>
      <c r="B20" s="1356"/>
      <c r="C20" s="1172" t="s">
        <v>306</v>
      </c>
      <c r="D20" s="1172"/>
      <c r="E20" s="1172"/>
      <c r="F20" s="1172"/>
      <c r="G20" s="694" t="s">
        <v>52</v>
      </c>
      <c r="H20" s="77" t="s">
        <v>25</v>
      </c>
      <c r="I20" s="155">
        <f>($D$10)*D9</f>
        <v>0</v>
      </c>
      <c r="J20" s="155">
        <f t="shared" ref="J20:J33" si="4">I20*30%</f>
        <v>0</v>
      </c>
      <c r="K20" s="155">
        <f>IF(I20&gt;0,(I20-J20)*98%,)</f>
        <v>0</v>
      </c>
      <c r="L20" s="162">
        <f t="shared" si="2"/>
        <v>0</v>
      </c>
      <c r="M20" s="167">
        <f t="shared" si="3"/>
        <v>0</v>
      </c>
      <c r="N20" s="164"/>
      <c r="O20" s="1183"/>
      <c r="P20" s="1184"/>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172" t="s">
        <v>546</v>
      </c>
      <c r="D21" s="1172"/>
      <c r="E21" s="1172"/>
      <c r="F21" s="1172"/>
      <c r="G21" s="694" t="s">
        <v>31</v>
      </c>
      <c r="H21" s="77" t="s">
        <v>26</v>
      </c>
      <c r="I21" s="155">
        <f>$D$11*B21</f>
        <v>0</v>
      </c>
      <c r="J21" s="155">
        <f t="shared" si="4"/>
        <v>0</v>
      </c>
      <c r="K21" s="661"/>
      <c r="L21" s="162">
        <f t="shared" si="2"/>
        <v>0</v>
      </c>
      <c r="M21" s="167">
        <f t="shared" si="3"/>
        <v>0</v>
      </c>
      <c r="N21" s="164"/>
      <c r="O21" s="1183"/>
      <c r="P21" s="1184"/>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172" t="s">
        <v>547</v>
      </c>
      <c r="D22" s="1172"/>
      <c r="E22" s="1172"/>
      <c r="F22" s="1172"/>
      <c r="G22" s="694" t="s">
        <v>32</v>
      </c>
      <c r="H22" s="77" t="s">
        <v>27</v>
      </c>
      <c r="I22" s="155">
        <f t="shared" ref="I22:I33" si="5">$D$11*B22</f>
        <v>0</v>
      </c>
      <c r="J22" s="155">
        <f t="shared" si="4"/>
        <v>0</v>
      </c>
      <c r="K22" s="661"/>
      <c r="L22" s="162">
        <f t="shared" si="2"/>
        <v>0</v>
      </c>
      <c r="M22" s="167">
        <f t="shared" si="3"/>
        <v>0</v>
      </c>
      <c r="N22" s="164"/>
      <c r="O22" s="1183"/>
      <c r="P22" s="1184"/>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183" t="s">
        <v>216</v>
      </c>
      <c r="D23" s="1240"/>
      <c r="E23" s="1240"/>
      <c r="F23" s="1241"/>
      <c r="G23" s="694" t="s">
        <v>32</v>
      </c>
      <c r="H23" s="77" t="s">
        <v>55</v>
      </c>
      <c r="I23" s="155">
        <f t="shared" si="5"/>
        <v>0</v>
      </c>
      <c r="J23" s="155">
        <f t="shared" si="4"/>
        <v>0</v>
      </c>
      <c r="K23" s="661"/>
      <c r="L23" s="162">
        <f t="shared" si="2"/>
        <v>0</v>
      </c>
      <c r="M23" s="167">
        <f t="shared" si="3"/>
        <v>0</v>
      </c>
      <c r="N23" s="164"/>
      <c r="O23" s="1183"/>
      <c r="P23" s="1184"/>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183" t="s">
        <v>466</v>
      </c>
      <c r="D24" s="1240"/>
      <c r="E24" s="1240"/>
      <c r="F24" s="1241"/>
      <c r="G24" s="694" t="s">
        <v>31</v>
      </c>
      <c r="H24" s="77" t="s">
        <v>72</v>
      </c>
      <c r="I24" s="155">
        <f t="shared" si="5"/>
        <v>0</v>
      </c>
      <c r="J24" s="155">
        <f t="shared" si="4"/>
        <v>0</v>
      </c>
      <c r="K24" s="661"/>
      <c r="L24" s="162">
        <f t="shared" si="2"/>
        <v>0</v>
      </c>
      <c r="M24" s="167">
        <f t="shared" si="3"/>
        <v>0</v>
      </c>
      <c r="N24" s="164"/>
      <c r="O24" s="1183"/>
      <c r="P24" s="1184"/>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5"/>
        <v>0</v>
      </c>
      <c r="J25" s="155">
        <f t="shared" si="4"/>
        <v>0</v>
      </c>
      <c r="K25" s="155">
        <f>IF(B25&gt;0,1,)</f>
        <v>0</v>
      </c>
      <c r="L25" s="162">
        <f t="shared" si="2"/>
        <v>0</v>
      </c>
      <c r="M25" s="167">
        <f t="shared" si="3"/>
        <v>0</v>
      </c>
      <c r="N25" s="164"/>
      <c r="O25" s="1183"/>
      <c r="P25" s="1184"/>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172" t="s">
        <v>218</v>
      </c>
      <c r="D26" s="1172"/>
      <c r="E26" s="1281"/>
      <c r="F26" s="1282"/>
      <c r="G26" s="694" t="s">
        <v>32</v>
      </c>
      <c r="H26" s="77" t="s">
        <v>35</v>
      </c>
      <c r="I26" s="155">
        <f t="shared" si="5"/>
        <v>0</v>
      </c>
      <c r="J26" s="155">
        <f t="shared" si="4"/>
        <v>0</v>
      </c>
      <c r="K26" s="155">
        <f>IF(B26&gt;0,1,)</f>
        <v>1</v>
      </c>
      <c r="L26" s="162">
        <f t="shared" si="2"/>
        <v>0</v>
      </c>
      <c r="M26" s="167">
        <f t="shared" si="3"/>
        <v>1</v>
      </c>
      <c r="N26" s="164"/>
      <c r="O26" s="1183"/>
      <c r="P26" s="1184"/>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172" t="s">
        <v>219</v>
      </c>
      <c r="D27" s="1172"/>
      <c r="E27" s="1281"/>
      <c r="F27" s="1282"/>
      <c r="G27" s="694" t="s">
        <v>32</v>
      </c>
      <c r="H27" s="77" t="s">
        <v>65</v>
      </c>
      <c r="I27" s="155">
        <f t="shared" si="5"/>
        <v>0</v>
      </c>
      <c r="J27" s="155">
        <f t="shared" si="4"/>
        <v>0</v>
      </c>
      <c r="K27" s="155">
        <f>IF(B27&gt;0,$D$11*2,)</f>
        <v>0</v>
      </c>
      <c r="L27" s="162">
        <f t="shared" si="2"/>
        <v>0</v>
      </c>
      <c r="M27" s="167">
        <f t="shared" si="3"/>
        <v>0</v>
      </c>
      <c r="N27" s="164"/>
      <c r="O27" s="1183"/>
      <c r="P27" s="1184"/>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172" t="s">
        <v>401</v>
      </c>
      <c r="D28" s="1172"/>
      <c r="E28" s="1281"/>
      <c r="F28" s="1282"/>
      <c r="G28" s="694" t="s">
        <v>32</v>
      </c>
      <c r="H28" s="77" t="s">
        <v>65</v>
      </c>
      <c r="I28" s="155">
        <f t="shared" si="5"/>
        <v>0</v>
      </c>
      <c r="J28" s="155">
        <f>I28*30%</f>
        <v>0</v>
      </c>
      <c r="K28" s="155"/>
      <c r="L28" s="162">
        <f>IF(A28="Y",K28* 2%,0)</f>
        <v>0</v>
      </c>
      <c r="M28" s="167">
        <f>K28-L28</f>
        <v>0</v>
      </c>
      <c r="N28" s="164"/>
      <c r="O28" s="1183"/>
      <c r="P28" s="1184"/>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172" t="s">
        <v>254</v>
      </c>
      <c r="D29" s="1172"/>
      <c r="E29" s="1283"/>
      <c r="F29" s="1284"/>
      <c r="G29" s="694" t="s">
        <v>32</v>
      </c>
      <c r="H29" s="77"/>
      <c r="I29" s="155">
        <f t="shared" si="5"/>
        <v>0</v>
      </c>
      <c r="J29" s="155">
        <f t="shared" si="4"/>
        <v>0</v>
      </c>
      <c r="K29" s="155"/>
      <c r="L29" s="162">
        <f t="shared" si="2"/>
        <v>0</v>
      </c>
      <c r="M29" s="167">
        <f t="shared" si="3"/>
        <v>0</v>
      </c>
      <c r="N29" s="164"/>
      <c r="O29" s="1183"/>
      <c r="P29" s="1184"/>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154" t="s">
        <v>286</v>
      </c>
      <c r="D30" s="1155"/>
      <c r="E30" s="1155"/>
      <c r="F30" s="1232"/>
      <c r="G30" s="702" t="s">
        <v>32</v>
      </c>
      <c r="H30" s="84" t="s">
        <v>36</v>
      </c>
      <c r="I30" s="155">
        <f t="shared" si="5"/>
        <v>0</v>
      </c>
      <c r="J30" s="155">
        <f t="shared" si="4"/>
        <v>0</v>
      </c>
      <c r="K30" s="155">
        <f>IF(B30&gt;0,$D$11*2,)</f>
        <v>0</v>
      </c>
      <c r="L30" s="162">
        <f t="shared" si="2"/>
        <v>0</v>
      </c>
      <c r="M30" s="167">
        <f t="shared" si="3"/>
        <v>0</v>
      </c>
      <c r="N30" s="164"/>
      <c r="O30" s="1183"/>
      <c r="P30" s="1184"/>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154" t="s">
        <v>385</v>
      </c>
      <c r="D31" s="1155"/>
      <c r="E31" s="1155"/>
      <c r="F31" s="1232"/>
      <c r="G31" s="702" t="s">
        <v>31</v>
      </c>
      <c r="H31" s="91" t="s">
        <v>39</v>
      </c>
      <c r="I31" s="202">
        <v>4</v>
      </c>
      <c r="J31" s="155">
        <f>I31*30%</f>
        <v>1.2</v>
      </c>
      <c r="K31" s="155"/>
      <c r="L31" s="162"/>
      <c r="M31" s="167">
        <f>K31</f>
        <v>0</v>
      </c>
      <c r="N31" s="164"/>
      <c r="O31" s="1183"/>
      <c r="P31" s="1184"/>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154" t="s">
        <v>555</v>
      </c>
      <c r="D32" s="1155"/>
      <c r="E32" s="1232"/>
      <c r="F32" s="1088" t="s">
        <v>281</v>
      </c>
      <c r="G32" s="702" t="s">
        <v>31</v>
      </c>
      <c r="H32" s="84" t="s">
        <v>37</v>
      </c>
      <c r="I32" s="155">
        <f t="shared" si="5"/>
        <v>0</v>
      </c>
      <c r="J32" s="155">
        <f t="shared" si="4"/>
        <v>0</v>
      </c>
      <c r="K32" s="155">
        <f>I32</f>
        <v>0</v>
      </c>
      <c r="L32" s="162">
        <f t="shared" si="2"/>
        <v>0</v>
      </c>
      <c r="M32" s="167">
        <f t="shared" si="3"/>
        <v>0</v>
      </c>
      <c r="N32" s="164"/>
      <c r="O32" s="1183"/>
      <c r="P32" s="1184"/>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154" t="s">
        <v>556</v>
      </c>
      <c r="D33" s="1155"/>
      <c r="E33" s="1232"/>
      <c r="F33" s="1089"/>
      <c r="G33" s="702" t="s">
        <v>31</v>
      </c>
      <c r="H33" s="84" t="s">
        <v>197</v>
      </c>
      <c r="I33" s="155">
        <f t="shared" si="5"/>
        <v>0</v>
      </c>
      <c r="J33" s="155">
        <f t="shared" si="4"/>
        <v>0</v>
      </c>
      <c r="K33" s="155">
        <f>I33</f>
        <v>0</v>
      </c>
      <c r="L33" s="162">
        <f>IF(A33="Y",#REF!* 2%,0)</f>
        <v>0</v>
      </c>
      <c r="M33" s="167">
        <f t="shared" si="3"/>
        <v>0</v>
      </c>
      <c r="N33" s="164"/>
      <c r="O33" s="1183"/>
      <c r="P33" s="1184"/>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154" t="s">
        <v>220</v>
      </c>
      <c r="D34" s="1155"/>
      <c r="E34" s="1155"/>
      <c r="F34" s="1232"/>
      <c r="G34" s="702" t="s">
        <v>31</v>
      </c>
      <c r="H34" s="84" t="s">
        <v>10</v>
      </c>
      <c r="I34" s="155">
        <f>D10*20%</f>
        <v>0</v>
      </c>
      <c r="J34" s="155"/>
      <c r="K34" s="155">
        <f>I34</f>
        <v>0</v>
      </c>
      <c r="L34" s="162"/>
      <c r="M34" s="167">
        <f t="shared" si="3"/>
        <v>0</v>
      </c>
      <c r="N34" s="164"/>
      <c r="O34" s="1183"/>
      <c r="P34" s="1184"/>
      <c r="Q34" s="78"/>
      <c r="R34" s="72"/>
      <c r="S34" s="167">
        <f>IF($S$48=0,,$S$15*M34)</f>
        <v>0</v>
      </c>
      <c r="T34" s="251"/>
      <c r="U34" s="181">
        <f t="shared" si="1"/>
        <v>0</v>
      </c>
      <c r="V34" s="651"/>
      <c r="W34" s="517"/>
      <c r="X34" s="127"/>
      <c r="Y34" s="127"/>
      <c r="Z34" s="127"/>
      <c r="AA34" s="127"/>
      <c r="AB34" s="127"/>
    </row>
    <row r="35" spans="1:28" s="90" customFormat="1" ht="15" x14ac:dyDescent="0.2">
      <c r="A35" s="69"/>
      <c r="B35" s="86"/>
      <c r="C35" s="1229" t="s">
        <v>221</v>
      </c>
      <c r="D35" s="1230"/>
      <c r="E35" s="1230"/>
      <c r="F35" s="1231"/>
      <c r="G35" s="703"/>
      <c r="H35" s="88"/>
      <c r="I35" s="157">
        <f>SUM(I18:I34)</f>
        <v>4</v>
      </c>
      <c r="J35" s="157"/>
      <c r="K35" s="157">
        <f>SUM(K17:K34)</f>
        <v>2.2000000000000002</v>
      </c>
      <c r="L35" s="162"/>
      <c r="M35" s="168">
        <f>SUM(M17:M34)</f>
        <v>3.9999999999999831</v>
      </c>
      <c r="N35" s="165"/>
      <c r="O35" s="1154"/>
      <c r="P35" s="1239"/>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154" t="s">
        <v>419</v>
      </c>
      <c r="D36" s="1155"/>
      <c r="E36" s="1155"/>
      <c r="F36" s="1232"/>
      <c r="G36" s="702" t="s">
        <v>31</v>
      </c>
      <c r="H36" s="91"/>
      <c r="I36" s="202">
        <v>40</v>
      </c>
      <c r="J36" s="155"/>
      <c r="K36" s="155">
        <f t="shared" ref="K36:K44" si="6">I36</f>
        <v>40</v>
      </c>
      <c r="L36" s="162"/>
      <c r="M36" s="167">
        <f t="shared" ref="M36:M45" si="7">K36-L36</f>
        <v>40</v>
      </c>
      <c r="N36" s="164"/>
      <c r="O36" s="1183"/>
      <c r="P36" s="1184"/>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233" t="s">
        <v>259</v>
      </c>
      <c r="D37" s="1234"/>
      <c r="E37" s="1234"/>
      <c r="F37" s="1235"/>
      <c r="G37" s="704" t="s">
        <v>31</v>
      </c>
      <c r="H37" s="92" t="s">
        <v>197</v>
      </c>
      <c r="I37" s="202">
        <v>35</v>
      </c>
      <c r="J37" s="196"/>
      <c r="K37" s="155">
        <f t="shared" si="6"/>
        <v>35</v>
      </c>
      <c r="L37" s="162">
        <f>IF(A37="Y", IF($L$15="BASE-UP",#REF!*2%, IF($L$15="TOP-DOWN",#REF!* 2%,0)),0)</f>
        <v>0</v>
      </c>
      <c r="M37" s="167">
        <f t="shared" si="7"/>
        <v>35</v>
      </c>
      <c r="N37" s="164"/>
      <c r="O37" s="1183"/>
      <c r="P37" s="1184"/>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233" t="s">
        <v>292</v>
      </c>
      <c r="D38" s="1234"/>
      <c r="E38" s="1234"/>
      <c r="F38" s="1235"/>
      <c r="G38" s="704" t="s">
        <v>32</v>
      </c>
      <c r="H38" s="92"/>
      <c r="I38" s="202">
        <f>49*49%</f>
        <v>24.009999999999998</v>
      </c>
      <c r="J38" s="196"/>
      <c r="K38" s="155">
        <f t="shared" si="6"/>
        <v>24.009999999999998</v>
      </c>
      <c r="L38" s="162">
        <f>IF(A38="Y", IF($L$15="BASE-UP",#REF!*2%, IF($L$15="TOP-DOWN",#REF!* 2%,0)),0)</f>
        <v>0</v>
      </c>
      <c r="M38" s="167">
        <f t="shared" si="7"/>
        <v>24.009999999999998</v>
      </c>
      <c r="N38" s="164"/>
      <c r="O38" s="1183"/>
      <c r="P38" s="1184"/>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233" t="s">
        <v>293</v>
      </c>
      <c r="D39" s="1234"/>
      <c r="E39" s="1234"/>
      <c r="F39" s="1235"/>
      <c r="G39" s="704" t="s">
        <v>31</v>
      </c>
      <c r="H39" s="92"/>
      <c r="I39" s="202">
        <f>49*51%</f>
        <v>24.990000000000002</v>
      </c>
      <c r="J39" s="196"/>
      <c r="K39" s="155">
        <f t="shared" si="6"/>
        <v>24.990000000000002</v>
      </c>
      <c r="L39" s="162">
        <f>IF(A39="Y", IF($L$15="BASE-UP",#REF!*2%, IF($L$15="TOP-DOWN",#REF!* 2%,0)),0)</f>
        <v>0</v>
      </c>
      <c r="M39" s="167">
        <f t="shared" si="7"/>
        <v>24.990000000000002</v>
      </c>
      <c r="N39" s="164"/>
      <c r="O39" s="1183"/>
      <c r="P39" s="1184"/>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233" t="s">
        <v>427</v>
      </c>
      <c r="D40" s="1234"/>
      <c r="E40" s="1234"/>
      <c r="F40" s="1235"/>
      <c r="G40" s="704" t="s">
        <v>230</v>
      </c>
      <c r="H40" s="92"/>
      <c r="I40" s="202"/>
      <c r="J40" s="196"/>
      <c r="K40" s="155">
        <f>I40</f>
        <v>0</v>
      </c>
      <c r="L40" s="162">
        <f>IF(A40="Y", IF($L$15="BASE-UP",#REF!*2%, IF($L$15="TOP-DOWN",#REF!* 2%,0)),0)</f>
        <v>0</v>
      </c>
      <c r="M40" s="167">
        <f>K40-L40</f>
        <v>0</v>
      </c>
      <c r="N40" s="164"/>
      <c r="O40" s="1183"/>
      <c r="P40" s="1184"/>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154" t="s">
        <v>551</v>
      </c>
      <c r="D41" s="1234"/>
      <c r="E41" s="1234"/>
      <c r="F41" s="1235"/>
      <c r="G41" s="704" t="s">
        <v>31</v>
      </c>
      <c r="H41" s="92"/>
      <c r="I41" s="202">
        <v>3</v>
      </c>
      <c r="J41" s="196"/>
      <c r="K41" s="155">
        <f>I41</f>
        <v>3</v>
      </c>
      <c r="L41" s="162">
        <f>IF(A41="Y", IF($L$15="BASE-UP",#REF!*2%, IF($L$15="TOP-DOWN",#REF!* 2%,0)),0)</f>
        <v>0</v>
      </c>
      <c r="M41" s="167">
        <f>K41-L41</f>
        <v>3</v>
      </c>
      <c r="N41" s="164"/>
      <c r="O41" s="1183"/>
      <c r="P41" s="1184"/>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233" t="s">
        <v>421</v>
      </c>
      <c r="D42" s="1234"/>
      <c r="E42" s="1234"/>
      <c r="F42" s="1235"/>
      <c r="G42" s="704" t="s">
        <v>230</v>
      </c>
      <c r="H42" s="92" t="s">
        <v>24</v>
      </c>
      <c r="I42" s="202"/>
      <c r="J42" s="196"/>
      <c r="K42" s="155">
        <f t="shared" si="6"/>
        <v>0</v>
      </c>
      <c r="L42" s="162">
        <f>IF(A42="Y", IF($L$15="BASE-UP",#REF!*2%, IF($L$15="TOP-DOWN",#REF!* 2%,0)),0)</f>
        <v>0</v>
      </c>
      <c r="M42" s="167">
        <f t="shared" si="7"/>
        <v>0</v>
      </c>
      <c r="N42" s="164"/>
      <c r="O42" s="1183"/>
      <c r="P42" s="1184"/>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154" t="s">
        <v>518</v>
      </c>
      <c r="D43" s="1155"/>
      <c r="E43" s="1155"/>
      <c r="F43" s="1232"/>
      <c r="G43" s="704" t="s">
        <v>230</v>
      </c>
      <c r="H43" s="92" t="s">
        <v>82</v>
      </c>
      <c r="I43" s="202"/>
      <c r="J43" s="196"/>
      <c r="K43" s="155">
        <f t="shared" si="6"/>
        <v>0</v>
      </c>
      <c r="L43" s="162">
        <f>IF(A43="Y", IF($L$15="BASE-UP",#REF!*2%, IF($L$15="TOP-DOWN",#REF!* 2%,0)),0)</f>
        <v>0</v>
      </c>
      <c r="M43" s="167">
        <f t="shared" si="7"/>
        <v>0</v>
      </c>
      <c r="N43" s="164"/>
      <c r="O43" s="1183"/>
      <c r="P43" s="1184"/>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233" t="s">
        <v>225</v>
      </c>
      <c r="D44" s="1234"/>
      <c r="E44" s="1234"/>
      <c r="F44" s="1235"/>
      <c r="G44" s="704" t="s">
        <v>31</v>
      </c>
      <c r="H44" s="92" t="s">
        <v>80</v>
      </c>
      <c r="I44" s="203"/>
      <c r="J44" s="196"/>
      <c r="K44" s="155">
        <f t="shared" si="6"/>
        <v>0</v>
      </c>
      <c r="L44" s="162">
        <f>IF(A44="Y", IF($L$15="BASE-UP",#REF!*2%, IF($L$15="TOP-DOWN",#REF!* 2%,0)),0)</f>
        <v>0</v>
      </c>
      <c r="M44" s="167">
        <f t="shared" si="7"/>
        <v>0</v>
      </c>
      <c r="N44" s="164"/>
      <c r="O44" s="1183"/>
      <c r="P44" s="1184"/>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236" t="s">
        <v>224</v>
      </c>
      <c r="D45" s="1237"/>
      <c r="E45" s="1237"/>
      <c r="F45" s="1238"/>
      <c r="G45" s="95" t="s">
        <v>31</v>
      </c>
      <c r="H45" s="96" t="s">
        <v>41</v>
      </c>
      <c r="I45" s="97"/>
      <c r="J45" s="197"/>
      <c r="K45" s="197"/>
      <c r="L45" s="163"/>
      <c r="M45" s="167">
        <f t="shared" si="7"/>
        <v>0</v>
      </c>
      <c r="N45" s="164"/>
      <c r="O45" s="1183"/>
      <c r="P45" s="1184"/>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144" t="s">
        <v>61</v>
      </c>
      <c r="B49" s="1144"/>
      <c r="C49" s="1144"/>
      <c r="D49" s="210"/>
      <c r="E49" s="133"/>
      <c r="F49" s="133"/>
      <c r="M49" s="135"/>
      <c r="N49" s="136"/>
      <c r="R49" s="137"/>
      <c r="S49" s="137"/>
      <c r="T49" s="137"/>
      <c r="U49" s="138"/>
      <c r="V49" s="138"/>
      <c r="W49" s="139"/>
    </row>
    <row r="50" spans="1:25" s="141" customFormat="1" ht="16.5" customHeight="1" x14ac:dyDescent="0.2">
      <c r="A50" s="769">
        <v>1</v>
      </c>
      <c r="B50" s="1492"/>
      <c r="C50" s="1493"/>
      <c r="D50" s="1493"/>
      <c r="E50" s="1493"/>
      <c r="F50" s="1493"/>
      <c r="G50" s="1493"/>
      <c r="H50" s="1493"/>
      <c r="I50" s="1493"/>
      <c r="J50" s="1493"/>
      <c r="K50" s="1493"/>
      <c r="L50" s="1493"/>
      <c r="M50" s="1493"/>
      <c r="N50" s="1493"/>
      <c r="O50" s="1493"/>
      <c r="P50" s="1493"/>
      <c r="Q50" s="1493"/>
      <c r="R50" s="1493"/>
      <c r="S50" s="1493"/>
      <c r="T50" s="1493"/>
      <c r="U50" s="1493"/>
      <c r="V50" s="1493"/>
      <c r="W50" s="1494"/>
      <c r="X50" s="553"/>
      <c r="Y50" s="553"/>
    </row>
    <row r="51" spans="1:25" s="141" customFormat="1" ht="16.5" customHeight="1" x14ac:dyDescent="0.2">
      <c r="A51" s="769">
        <v>2</v>
      </c>
      <c r="B51" s="1492"/>
      <c r="C51" s="1493"/>
      <c r="D51" s="1493"/>
      <c r="E51" s="1493"/>
      <c r="F51" s="1493"/>
      <c r="G51" s="1493"/>
      <c r="H51" s="1493"/>
      <c r="I51" s="1493"/>
      <c r="J51" s="1493"/>
      <c r="K51" s="1493"/>
      <c r="L51" s="1493"/>
      <c r="M51" s="1493"/>
      <c r="N51" s="1493"/>
      <c r="O51" s="1493"/>
      <c r="P51" s="1493"/>
      <c r="Q51" s="1493"/>
      <c r="R51" s="1493"/>
      <c r="S51" s="1493"/>
      <c r="T51" s="1493"/>
      <c r="U51" s="1493"/>
      <c r="V51" s="1493"/>
      <c r="W51" s="1494"/>
      <c r="X51" s="554"/>
      <c r="Y51" s="554"/>
    </row>
    <row r="52" spans="1:25" s="141" customFormat="1" ht="16.5" customHeight="1" x14ac:dyDescent="0.2">
      <c r="A52" s="769">
        <v>3</v>
      </c>
      <c r="B52" s="1492"/>
      <c r="C52" s="1493"/>
      <c r="D52" s="1493"/>
      <c r="E52" s="1493"/>
      <c r="F52" s="1493"/>
      <c r="G52" s="1493"/>
      <c r="H52" s="1493"/>
      <c r="I52" s="1493"/>
      <c r="J52" s="1493"/>
      <c r="K52" s="1493"/>
      <c r="L52" s="1493"/>
      <c r="M52" s="1493"/>
      <c r="N52" s="1493"/>
      <c r="O52" s="1493"/>
      <c r="P52" s="1493"/>
      <c r="Q52" s="1493"/>
      <c r="R52" s="1493"/>
      <c r="S52" s="1493"/>
      <c r="T52" s="1493"/>
      <c r="U52" s="1493"/>
      <c r="V52" s="1493"/>
      <c r="W52" s="1494"/>
    </row>
    <row r="53" spans="1:25" ht="18.75" customHeight="1" x14ac:dyDescent="0.2">
      <c r="A53" s="769">
        <v>4</v>
      </c>
      <c r="B53" s="1492"/>
      <c r="C53" s="1493"/>
      <c r="D53" s="1493"/>
      <c r="E53" s="1493"/>
      <c r="F53" s="1493"/>
      <c r="G53" s="1493"/>
      <c r="H53" s="1493"/>
      <c r="I53" s="1493"/>
      <c r="J53" s="1493"/>
      <c r="K53" s="1493"/>
      <c r="L53" s="1493"/>
      <c r="M53" s="1493"/>
      <c r="N53" s="1493"/>
      <c r="O53" s="1493"/>
      <c r="P53" s="1493"/>
      <c r="Q53" s="1493"/>
      <c r="R53" s="1493"/>
      <c r="S53" s="1493"/>
      <c r="T53" s="1493"/>
      <c r="U53" s="1493"/>
      <c r="V53" s="1493"/>
      <c r="W53" s="1494"/>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113" priority="35" stopIfTrue="1" operator="equal">
      <formula>0</formula>
    </cfRule>
  </conditionalFormatting>
  <conditionalFormatting sqref="H17:H24 H30 H32:H34">
    <cfRule type="expression" dxfId="112" priority="34" stopIfTrue="1">
      <formula>MOD(ROW(),2)=0</formula>
    </cfRule>
  </conditionalFormatting>
  <conditionalFormatting sqref="U12:V13 U49:V49 U54:V65533">
    <cfRule type="cellIs" dxfId="111" priority="33" stopIfTrue="1" operator="notEqual">
      <formula>0</formula>
    </cfRule>
  </conditionalFormatting>
  <conditionalFormatting sqref="H25:H30">
    <cfRule type="expression" dxfId="110" priority="32" stopIfTrue="1">
      <formula>MOD(ROW(), 2)=0</formula>
    </cfRule>
  </conditionalFormatting>
  <conditionalFormatting sqref="S17:S45">
    <cfRule type="cellIs" dxfId="109" priority="30" operator="equal">
      <formula>0</formula>
    </cfRule>
  </conditionalFormatting>
  <conditionalFormatting sqref="O17:Q44">
    <cfRule type="expression" dxfId="108" priority="17">
      <formula>MOD(ROW(),2)=0</formula>
    </cfRule>
  </conditionalFormatting>
  <conditionalFormatting sqref="V17:V44">
    <cfRule type="cellIs" dxfId="107" priority="4" operator="greaterThan">
      <formula>0</formula>
    </cfRule>
  </conditionalFormatting>
  <conditionalFormatting sqref="E25">
    <cfRule type="cellIs" dxfId="106"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187" t="s">
        <v>383</v>
      </c>
      <c r="B1" s="1188"/>
      <c r="C1" s="1188"/>
      <c r="D1" s="1188"/>
      <c r="E1" s="1188"/>
      <c r="F1" s="1188"/>
      <c r="G1" s="1188"/>
      <c r="H1" s="1188"/>
      <c r="I1" s="1188"/>
      <c r="J1" s="1188"/>
      <c r="K1" s="1188"/>
      <c r="L1" s="1188"/>
      <c r="M1" s="1188"/>
      <c r="N1" s="1185"/>
      <c r="O1" s="1185"/>
      <c r="P1" s="1185"/>
      <c r="Q1" s="1185"/>
      <c r="R1" s="1185"/>
      <c r="S1" s="1185"/>
      <c r="T1" s="1185"/>
      <c r="U1" s="1185"/>
      <c r="V1" s="1185"/>
      <c r="W1" s="1185"/>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414"/>
      <c r="P3" s="1513"/>
      <c r="Q3" s="786"/>
      <c r="R3" s="237"/>
      <c r="S3" s="1342" t="s">
        <v>261</v>
      </c>
      <c r="T3" s="1343"/>
      <c r="U3" s="1343"/>
      <c r="V3" s="1343"/>
      <c r="W3" s="1343"/>
      <c r="X3" s="1343"/>
      <c r="Y3" s="1344"/>
      <c r="AA3" s="174" t="s">
        <v>250</v>
      </c>
      <c r="AB3" s="132"/>
    </row>
    <row r="4" spans="1:30" s="57" customFormat="1" ht="15.75" x14ac:dyDescent="0.2">
      <c r="A4" s="1202" t="s">
        <v>231</v>
      </c>
      <c r="B4" s="1199"/>
      <c r="C4" s="1199"/>
      <c r="D4" s="1203">
        <f>N1</f>
        <v>0</v>
      </c>
      <c r="E4" s="1204"/>
      <c r="F4" s="1366" t="s">
        <v>28</v>
      </c>
      <c r="G4" s="1367"/>
      <c r="H4" s="1367"/>
      <c r="I4" s="1368"/>
      <c r="J4" s="1369" t="s">
        <v>542</v>
      </c>
      <c r="K4" s="1369"/>
      <c r="L4" s="1369"/>
      <c r="M4" s="1369"/>
      <c r="N4" s="1370"/>
      <c r="O4" s="1348" t="s">
        <v>257</v>
      </c>
      <c r="P4" s="1348"/>
      <c r="Q4" s="209"/>
      <c r="R4" s="238"/>
      <c r="S4" s="1349" t="s">
        <v>236</v>
      </c>
      <c r="T4" s="1350"/>
      <c r="U4" s="1350"/>
      <c r="V4" s="1350"/>
      <c r="W4" s="1350"/>
      <c r="X4" s="1350"/>
      <c r="Y4" s="1351"/>
      <c r="AA4" s="271" t="s">
        <v>308</v>
      </c>
      <c r="AB4" s="269" t="s">
        <v>309</v>
      </c>
      <c r="AC4" s="269" t="s">
        <v>310</v>
      </c>
    </row>
    <row r="5" spans="1:30" s="57" customFormat="1" ht="15.75" x14ac:dyDescent="0.2">
      <c r="A5" s="1200" t="s">
        <v>4</v>
      </c>
      <c r="B5" s="1201"/>
      <c r="C5" s="1201"/>
      <c r="D5" s="1221"/>
      <c r="E5" s="1193"/>
      <c r="F5" s="1371" t="s">
        <v>244</v>
      </c>
      <c r="G5" s="1338"/>
      <c r="H5" s="1338"/>
      <c r="I5" s="1220"/>
      <c r="J5" s="1357" t="s">
        <v>377</v>
      </c>
      <c r="K5" s="1357"/>
      <c r="L5" s="1357"/>
      <c r="M5" s="1357"/>
      <c r="N5" s="1159"/>
      <c r="O5" s="1338" t="s">
        <v>22</v>
      </c>
      <c r="P5" s="1338"/>
      <c r="Q5" s="58">
        <v>0</v>
      </c>
      <c r="R5" s="238"/>
      <c r="S5" s="1339" t="s">
        <v>302</v>
      </c>
      <c r="T5" s="1340"/>
      <c r="U5" s="1340"/>
      <c r="V5" s="1340"/>
      <c r="W5" s="1340"/>
      <c r="X5" s="1340"/>
      <c r="Y5" s="1341"/>
      <c r="AA5" s="172" t="s">
        <v>31</v>
      </c>
      <c r="AB5" s="176">
        <f>SUMIF($G$16:$G$41,"STATE",$M$16:$M$41)</f>
        <v>79</v>
      </c>
      <c r="AC5" s="176">
        <f>SUMIF($G$16:$G$41,"STATE",$U$16:$U$41)</f>
        <v>0</v>
      </c>
    </row>
    <row r="6" spans="1:30" s="57" customFormat="1" ht="16.5" thickBot="1" x14ac:dyDescent="0.25">
      <c r="A6" s="1200" t="s">
        <v>12</v>
      </c>
      <c r="B6" s="1201"/>
      <c r="C6" s="1201"/>
      <c r="D6" s="1221"/>
      <c r="E6" s="1333"/>
      <c r="F6" s="1371" t="s">
        <v>20</v>
      </c>
      <c r="G6" s="1338"/>
      <c r="H6" s="1338"/>
      <c r="I6" s="1220"/>
      <c r="J6" s="1357" t="s">
        <v>317</v>
      </c>
      <c r="K6" s="1357"/>
      <c r="L6" s="1357"/>
      <c r="M6" s="1357"/>
      <c r="N6" s="1159"/>
      <c r="O6" s="1334" t="s">
        <v>233</v>
      </c>
      <c r="P6" s="1334"/>
      <c r="Q6" s="212">
        <f>Q4+Q5*10</f>
        <v>0</v>
      </c>
      <c r="R6" s="238"/>
      <c r="S6" s="1335" t="s">
        <v>573</v>
      </c>
      <c r="T6" s="1336"/>
      <c r="U6" s="1336"/>
      <c r="V6" s="1336"/>
      <c r="W6" s="1336"/>
      <c r="X6" s="1336"/>
      <c r="Y6" s="1337"/>
      <c r="AA6" s="172" t="s">
        <v>32</v>
      </c>
      <c r="AB6" s="176">
        <f>SUMIF($G$16:$G$41,"COUNTY",$M$16:$M$41)</f>
        <v>0</v>
      </c>
      <c r="AC6" s="176">
        <f>SUMIF($G$16:$G$41,"COUNTY",$U$16:$U$41)</f>
        <v>0</v>
      </c>
    </row>
    <row r="7" spans="1:30" s="57" customFormat="1" ht="16.5" thickBot="1" x14ac:dyDescent="0.25">
      <c r="A7" s="1200" t="s">
        <v>5</v>
      </c>
      <c r="B7" s="1201"/>
      <c r="C7" s="1201"/>
      <c r="D7" s="1158"/>
      <c r="E7" s="1193"/>
      <c r="F7" s="1375" t="s">
        <v>21</v>
      </c>
      <c r="G7" s="1376"/>
      <c r="H7" s="1376"/>
      <c r="I7" s="1377"/>
      <c r="J7" s="1374" t="s">
        <v>3</v>
      </c>
      <c r="K7" s="1374"/>
      <c r="L7" s="1374"/>
      <c r="M7" s="1374"/>
      <c r="N7" s="1195"/>
      <c r="O7" s="235"/>
      <c r="P7" s="242"/>
      <c r="Q7" s="236"/>
      <c r="R7" s="238"/>
      <c r="S7" s="1323" t="s">
        <v>235</v>
      </c>
      <c r="T7" s="1324"/>
      <c r="U7" s="1324"/>
      <c r="V7" s="1324"/>
      <c r="W7" s="1324"/>
      <c r="X7" s="1324"/>
      <c r="Y7" s="1325"/>
      <c r="AA7" s="172" t="s">
        <v>52</v>
      </c>
      <c r="AB7" s="176">
        <f>SUMIF($G$16:$G$41,"CITY",$M$16:$M$41)</f>
        <v>0</v>
      </c>
      <c r="AC7" s="176">
        <f>SUMIF($G$16:$G$41,"CITY",$U$16:$U$41)</f>
        <v>0</v>
      </c>
    </row>
    <row r="8" spans="1:30" s="57" customFormat="1" ht="15.75" customHeight="1" x14ac:dyDescent="0.2">
      <c r="A8" s="1326" t="s">
        <v>54</v>
      </c>
      <c r="B8" s="1327"/>
      <c r="C8" s="1327"/>
      <c r="D8" s="1328">
        <v>1</v>
      </c>
      <c r="E8" s="1372"/>
      <c r="F8" s="1378" t="s">
        <v>253</v>
      </c>
      <c r="G8" s="1373"/>
      <c r="H8" s="1373"/>
      <c r="I8" s="1198"/>
      <c r="J8" s="1369"/>
      <c r="K8" s="1369"/>
      <c r="L8" s="1369"/>
      <c r="M8" s="1369"/>
      <c r="N8" s="1370"/>
      <c r="O8" s="1373" t="s">
        <v>257</v>
      </c>
      <c r="P8" s="1373"/>
      <c r="Q8" s="55">
        <v>0</v>
      </c>
      <c r="R8" s="239"/>
      <c r="S8" s="1314" t="s">
        <v>303</v>
      </c>
      <c r="T8" s="1266"/>
      <c r="U8" s="1266"/>
      <c r="V8" s="1266"/>
      <c r="W8" s="1266"/>
      <c r="X8" s="1266"/>
      <c r="Y8" s="1315"/>
      <c r="AA8" s="172" t="s">
        <v>230</v>
      </c>
      <c r="AB8" s="176">
        <f>SUMIF($G$16:$G$41,"COURT",$M$16:$M$41)</f>
        <v>0</v>
      </c>
      <c r="AC8" s="176">
        <f>SUMIF($G$16:$G$41,"COURT",$U$16:$U$41)</f>
        <v>0</v>
      </c>
    </row>
    <row r="9" spans="1:30" s="57" customFormat="1" ht="18" customHeight="1" thickBot="1" x14ac:dyDescent="0.25">
      <c r="A9" s="1318" t="s">
        <v>53</v>
      </c>
      <c r="B9" s="1319"/>
      <c r="C9" s="1319"/>
      <c r="D9" s="1189">
        <f>100%-D8</f>
        <v>0</v>
      </c>
      <c r="E9" s="1190"/>
      <c r="F9" s="1371" t="s">
        <v>244</v>
      </c>
      <c r="G9" s="1338"/>
      <c r="H9" s="1338"/>
      <c r="I9" s="1220"/>
      <c r="J9" s="1357"/>
      <c r="K9" s="1357"/>
      <c r="L9" s="1357"/>
      <c r="M9" s="1357"/>
      <c r="N9" s="1159"/>
      <c r="O9" s="1338" t="s">
        <v>22</v>
      </c>
      <c r="P9" s="1338"/>
      <c r="Q9" s="58"/>
      <c r="R9" s="239"/>
      <c r="S9" s="1316"/>
      <c r="T9" s="1269"/>
      <c r="U9" s="1269"/>
      <c r="V9" s="1269"/>
      <c r="W9" s="1269"/>
      <c r="X9" s="1269"/>
      <c r="Y9" s="1317"/>
      <c r="AA9" s="153" t="s">
        <v>446</v>
      </c>
      <c r="AB9" s="176">
        <f>SUMIF($G$16:$G$41,"CNTY or CTY",$M$16:$M$41)</f>
        <v>0</v>
      </c>
      <c r="AC9" s="176">
        <f>SUMIF($G$16:$G$41,"CNTY or CTY",$U$16:$U$41)</f>
        <v>0</v>
      </c>
    </row>
    <row r="10" spans="1:30" s="57" customFormat="1" ht="16.5" customHeight="1" thickBot="1" x14ac:dyDescent="0.25">
      <c r="A10" s="1152" t="s">
        <v>276</v>
      </c>
      <c r="B10" s="1153"/>
      <c r="C10" s="1153"/>
      <c r="D10" s="1148">
        <f>Q6+Q10</f>
        <v>0</v>
      </c>
      <c r="E10" s="1149"/>
      <c r="F10" s="1371" t="s">
        <v>20</v>
      </c>
      <c r="G10" s="1338"/>
      <c r="H10" s="1338"/>
      <c r="I10" s="1220"/>
      <c r="J10" s="1357"/>
      <c r="K10" s="1357"/>
      <c r="L10" s="1357"/>
      <c r="M10" s="1357"/>
      <c r="N10" s="1159"/>
      <c r="O10" s="1334" t="s">
        <v>233</v>
      </c>
      <c r="P10" s="1334"/>
      <c r="Q10" s="212">
        <f>Q8+Q9*10</f>
        <v>0</v>
      </c>
      <c r="R10" s="240"/>
      <c r="S10" s="1311" t="s">
        <v>239</v>
      </c>
      <c r="T10" s="1312"/>
      <c r="U10" s="1312"/>
      <c r="V10" s="1312"/>
      <c r="W10" s="1312"/>
      <c r="X10" s="1312"/>
      <c r="Y10" s="1313"/>
      <c r="AA10" s="592" t="s">
        <v>246</v>
      </c>
      <c r="AB10" s="148">
        <f>SUM(AB5:AB9)</f>
        <v>79</v>
      </c>
      <c r="AC10" s="148">
        <f>SUM(AC5:AC9)</f>
        <v>0</v>
      </c>
    </row>
    <row r="11" spans="1:30" s="57" customFormat="1" ht="16.5" customHeight="1" thickBot="1" x14ac:dyDescent="0.25">
      <c r="A11" s="1150" t="s">
        <v>277</v>
      </c>
      <c r="B11" s="1151"/>
      <c r="C11" s="1151"/>
      <c r="D11" s="1146">
        <f>ROUNDUP(D10/10,0)</f>
        <v>0</v>
      </c>
      <c r="E11" s="1147"/>
      <c r="F11" s="1362" t="s">
        <v>21</v>
      </c>
      <c r="G11" s="1363"/>
      <c r="H11" s="1363"/>
      <c r="I11" s="1173"/>
      <c r="J11" s="1156"/>
      <c r="K11" s="1157"/>
      <c r="L11" s="1157"/>
      <c r="M11" s="1157"/>
      <c r="N11" s="1380"/>
      <c r="O11" s="1416" t="s">
        <v>568</v>
      </c>
      <c r="P11" s="1417"/>
      <c r="Q11" s="780">
        <f>'1-DUI (Reduce Base)'!P11</f>
        <v>7</v>
      </c>
      <c r="R11" s="781"/>
      <c r="S11" s="1296" t="s">
        <v>430</v>
      </c>
      <c r="T11" s="1297"/>
      <c r="U11" s="1297"/>
      <c r="V11" s="1297"/>
      <c r="W11" s="1297"/>
      <c r="X11" s="1297"/>
      <c r="Y11" s="1298"/>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299" t="s">
        <v>297</v>
      </c>
      <c r="L13" s="1300"/>
      <c r="M13" s="1300"/>
      <c r="N13" s="110"/>
      <c r="O13" s="1302" t="s">
        <v>229</v>
      </c>
      <c r="P13" s="1303"/>
      <c r="Q13" s="1304"/>
      <c r="R13" s="111"/>
      <c r="S13" s="1305" t="s">
        <v>295</v>
      </c>
      <c r="T13" s="1306"/>
      <c r="U13" s="1307"/>
      <c r="V13" s="226"/>
      <c r="W13" s="158"/>
      <c r="X13" s="158"/>
      <c r="Y13" s="159"/>
      <c r="Z13" s="108"/>
      <c r="AA13" s="108"/>
      <c r="AB13" s="108"/>
      <c r="AC13" s="108"/>
      <c r="AD13" s="108"/>
    </row>
    <row r="14" spans="1:30" ht="44.25" customHeight="1" thickBot="1" x14ac:dyDescent="0.25">
      <c r="A14" s="601">
        <v>0.02</v>
      </c>
      <c r="B14" s="601" t="s">
        <v>58</v>
      </c>
      <c r="C14" s="1160" t="s">
        <v>226</v>
      </c>
      <c r="D14" s="1161"/>
      <c r="E14" s="1161"/>
      <c r="F14" s="1162"/>
      <c r="G14" s="599" t="s">
        <v>249</v>
      </c>
      <c r="H14" s="114" t="s">
        <v>0</v>
      </c>
      <c r="I14" s="1360" t="s">
        <v>298</v>
      </c>
      <c r="J14" s="1358" t="s">
        <v>275</v>
      </c>
      <c r="K14" s="1360" t="s">
        <v>315</v>
      </c>
      <c r="L14" s="1287" t="s">
        <v>6</v>
      </c>
      <c r="M14" s="598" t="s">
        <v>299</v>
      </c>
      <c r="N14" s="67"/>
      <c r="O14" s="1256" t="s">
        <v>260</v>
      </c>
      <c r="P14" s="1257"/>
      <c r="Q14" s="597" t="s">
        <v>248</v>
      </c>
      <c r="R14" s="121"/>
      <c r="S14" s="690" t="s">
        <v>428</v>
      </c>
      <c r="T14" s="1287" t="s">
        <v>6</v>
      </c>
      <c r="U14" s="598" t="s">
        <v>299</v>
      </c>
      <c r="V14" s="228"/>
      <c r="W14" s="591" t="s">
        <v>256</v>
      </c>
      <c r="X14" s="1289" t="s">
        <v>61</v>
      </c>
      <c r="Y14" s="1291" t="s">
        <v>384</v>
      </c>
    </row>
    <row r="15" spans="1:30" ht="30.75" customHeight="1" thickBot="1" x14ac:dyDescent="0.25">
      <c r="A15" s="602"/>
      <c r="B15" s="602"/>
      <c r="C15" s="1163"/>
      <c r="D15" s="1164"/>
      <c r="E15" s="1164"/>
      <c r="F15" s="1165"/>
      <c r="G15" s="600"/>
      <c r="H15" s="600"/>
      <c r="I15" s="1361"/>
      <c r="J15" s="1359"/>
      <c r="K15" s="1361"/>
      <c r="L15" s="1288"/>
      <c r="M15" s="244" t="s">
        <v>42</v>
      </c>
      <c r="N15" s="68"/>
      <c r="O15" s="1254"/>
      <c r="P15" s="1255"/>
      <c r="Q15" s="245" t="s">
        <v>43</v>
      </c>
      <c r="R15" s="121"/>
      <c r="S15" s="246" t="e">
        <f>(S35-S31)/(K35-K31)</f>
        <v>#DIV/0!</v>
      </c>
      <c r="T15" s="1288"/>
      <c r="U15" s="244" t="s">
        <v>44</v>
      </c>
      <c r="V15" s="228"/>
      <c r="W15" s="298" t="s">
        <v>300</v>
      </c>
      <c r="X15" s="1290"/>
      <c r="Y15" s="1292"/>
    </row>
    <row r="16" spans="1:30" s="74" customFormat="1" ht="15.75" hidden="1" customHeight="1" thickTop="1" x14ac:dyDescent="0.2">
      <c r="A16" s="69" t="s">
        <v>8</v>
      </c>
      <c r="B16" s="195"/>
      <c r="C16" s="1226"/>
      <c r="D16" s="1226"/>
      <c r="E16" s="1226"/>
      <c r="F16" s="1226"/>
      <c r="G16" s="70"/>
      <c r="H16" s="71"/>
      <c r="I16" s="154"/>
      <c r="J16" s="162"/>
      <c r="K16" s="162"/>
      <c r="L16" s="162"/>
      <c r="M16" s="198"/>
      <c r="N16" s="164"/>
      <c r="O16" s="1271"/>
      <c r="P16" s="127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183"/>
      <c r="D17" s="1240"/>
      <c r="E17" s="1240"/>
      <c r="F17" s="1241"/>
      <c r="G17" s="76"/>
      <c r="H17" s="77"/>
      <c r="I17" s="156"/>
      <c r="J17" s="162"/>
      <c r="K17" s="162"/>
      <c r="L17" s="162"/>
      <c r="M17" s="167"/>
      <c r="N17" s="164"/>
      <c r="O17" s="1183"/>
      <c r="P17" s="1184"/>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226" t="s">
        <v>274</v>
      </c>
      <c r="D18" s="1226"/>
      <c r="E18" s="1226"/>
      <c r="F18" s="1226"/>
      <c r="G18" s="701" t="str">
        <f>IF(D9=0,"COUNTY","CITY")</f>
        <v>COUNTY</v>
      </c>
      <c r="H18" s="77" t="s">
        <v>51</v>
      </c>
      <c r="I18" s="156"/>
      <c r="J18" s="162"/>
      <c r="K18" s="162">
        <f>J42</f>
        <v>0</v>
      </c>
      <c r="L18" s="162">
        <f t="shared" ref="L18:L24" si="0">IF(A18="Y", K18*2%,0)</f>
        <v>0</v>
      </c>
      <c r="M18" s="167">
        <f t="shared" ref="M18:M24" si="1">K18-L18</f>
        <v>0</v>
      </c>
      <c r="N18" s="164"/>
      <c r="O18" s="1183"/>
      <c r="P18" s="1184"/>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355" t="s">
        <v>241</v>
      </c>
      <c r="C19" s="1172" t="s">
        <v>212</v>
      </c>
      <c r="D19" s="1172"/>
      <c r="E19" s="1172"/>
      <c r="F19" s="1172"/>
      <c r="G19" s="694" t="s">
        <v>32</v>
      </c>
      <c r="H19" s="77" t="s">
        <v>27</v>
      </c>
      <c r="I19" s="155">
        <f>(D10-SUM(I16:I18))*D8</f>
        <v>0</v>
      </c>
      <c r="J19" s="162"/>
      <c r="K19" s="162">
        <f t="shared" ref="K19:K24" si="6">I19-J19</f>
        <v>0</v>
      </c>
      <c r="L19" s="162">
        <f t="shared" si="0"/>
        <v>0</v>
      </c>
      <c r="M19" s="167">
        <f t="shared" si="1"/>
        <v>0</v>
      </c>
      <c r="N19" s="164"/>
      <c r="O19" s="1183"/>
      <c r="P19" s="1184"/>
      <c r="Q19" s="78"/>
      <c r="R19" s="72"/>
      <c r="S19" s="160">
        <f t="shared" si="2"/>
        <v>0</v>
      </c>
      <c r="T19" s="162">
        <f t="shared" si="3"/>
        <v>0</v>
      </c>
      <c r="U19" s="167">
        <f t="shared" si="4"/>
        <v>0</v>
      </c>
      <c r="V19" s="229"/>
      <c r="W19" s="181">
        <f t="shared" si="5"/>
        <v>0</v>
      </c>
      <c r="X19" s="651"/>
      <c r="Y19" s="517"/>
      <c r="Z19" s="1514"/>
      <c r="AA19" s="125"/>
      <c r="AB19" s="125"/>
      <c r="AC19" s="125"/>
      <c r="AD19" s="125"/>
    </row>
    <row r="20" spans="1:30" s="74" customFormat="1" ht="20.25" customHeight="1" x14ac:dyDescent="0.2">
      <c r="A20" s="69" t="s">
        <v>8</v>
      </c>
      <c r="B20" s="1356"/>
      <c r="C20" s="1172" t="s">
        <v>213</v>
      </c>
      <c r="D20" s="1172"/>
      <c r="E20" s="1172"/>
      <c r="F20" s="1172"/>
      <c r="G20" s="694" t="s">
        <v>52</v>
      </c>
      <c r="H20" s="77" t="s">
        <v>25</v>
      </c>
      <c r="I20" s="155">
        <f>(D10-SUM(I16:I18))*D9</f>
        <v>0</v>
      </c>
      <c r="J20" s="162"/>
      <c r="K20" s="162">
        <f t="shared" si="6"/>
        <v>0</v>
      </c>
      <c r="L20" s="162">
        <f t="shared" si="0"/>
        <v>0</v>
      </c>
      <c r="M20" s="167">
        <f t="shared" si="1"/>
        <v>0</v>
      </c>
      <c r="N20" s="164"/>
      <c r="O20" s="1183"/>
      <c r="P20" s="1184"/>
      <c r="Q20" s="78"/>
      <c r="R20" s="72"/>
      <c r="S20" s="160">
        <f t="shared" si="2"/>
        <v>0</v>
      </c>
      <c r="T20" s="162">
        <f t="shared" si="3"/>
        <v>0</v>
      </c>
      <c r="U20" s="167">
        <f t="shared" si="4"/>
        <v>0</v>
      </c>
      <c r="V20" s="229"/>
      <c r="W20" s="181">
        <f t="shared" si="5"/>
        <v>0</v>
      </c>
      <c r="X20" s="651"/>
      <c r="Y20" s="517"/>
      <c r="Z20" s="1514"/>
      <c r="AA20" s="125"/>
      <c r="AB20" s="125"/>
      <c r="AC20" s="125"/>
      <c r="AD20" s="125"/>
    </row>
    <row r="21" spans="1:30" s="74" customFormat="1" ht="15.75" customHeight="1" x14ac:dyDescent="0.2">
      <c r="A21" s="69" t="s">
        <v>8</v>
      </c>
      <c r="B21" s="75">
        <v>7</v>
      </c>
      <c r="C21" s="1172" t="s">
        <v>546</v>
      </c>
      <c r="D21" s="1172"/>
      <c r="E21" s="1172"/>
      <c r="F21" s="1172"/>
      <c r="G21" s="694" t="s">
        <v>31</v>
      </c>
      <c r="H21" s="77" t="s">
        <v>26</v>
      </c>
      <c r="I21" s="155">
        <f>$D$11*B21</f>
        <v>0</v>
      </c>
      <c r="J21" s="162"/>
      <c r="K21" s="162">
        <f t="shared" si="6"/>
        <v>0</v>
      </c>
      <c r="L21" s="162">
        <f t="shared" si="0"/>
        <v>0</v>
      </c>
      <c r="M21" s="167">
        <f t="shared" si="1"/>
        <v>0</v>
      </c>
      <c r="N21" s="164"/>
      <c r="O21" s="1183"/>
      <c r="P21" s="1184"/>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172" t="s">
        <v>547</v>
      </c>
      <c r="D22" s="1172"/>
      <c r="E22" s="1172"/>
      <c r="F22" s="1172"/>
      <c r="G22" s="694" t="s">
        <v>32</v>
      </c>
      <c r="H22" s="77" t="s">
        <v>27</v>
      </c>
      <c r="I22" s="155">
        <f>$D$11*B22</f>
        <v>0</v>
      </c>
      <c r="J22" s="162"/>
      <c r="K22" s="162">
        <f t="shared" si="6"/>
        <v>0</v>
      </c>
      <c r="L22" s="162">
        <f t="shared" si="0"/>
        <v>0</v>
      </c>
      <c r="M22" s="167">
        <f t="shared" si="1"/>
        <v>0</v>
      </c>
      <c r="N22" s="164"/>
      <c r="O22" s="1183"/>
      <c r="P22" s="1184"/>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183" t="s">
        <v>216</v>
      </c>
      <c r="D23" s="1240"/>
      <c r="E23" s="1240"/>
      <c r="F23" s="1241"/>
      <c r="G23" s="694" t="s">
        <v>32</v>
      </c>
      <c r="H23" s="77" t="s">
        <v>55</v>
      </c>
      <c r="I23" s="155">
        <f>$D$11*B23</f>
        <v>0</v>
      </c>
      <c r="J23" s="162"/>
      <c r="K23" s="162">
        <f t="shared" si="6"/>
        <v>0</v>
      </c>
      <c r="L23" s="162">
        <f t="shared" si="0"/>
        <v>0</v>
      </c>
      <c r="M23" s="167">
        <f t="shared" si="1"/>
        <v>0</v>
      </c>
      <c r="N23" s="164"/>
      <c r="O23" s="1183"/>
      <c r="P23" s="1184"/>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183" t="s">
        <v>466</v>
      </c>
      <c r="D24" s="1240"/>
      <c r="E24" s="1240"/>
      <c r="F24" s="1241"/>
      <c r="G24" s="694" t="s">
        <v>31</v>
      </c>
      <c r="H24" s="77" t="s">
        <v>72</v>
      </c>
      <c r="I24" s="155">
        <f>$D$11*B24</f>
        <v>0</v>
      </c>
      <c r="J24" s="162"/>
      <c r="K24" s="162">
        <f t="shared" si="6"/>
        <v>0</v>
      </c>
      <c r="L24" s="162">
        <f t="shared" si="0"/>
        <v>0</v>
      </c>
      <c r="M24" s="167">
        <f t="shared" si="1"/>
        <v>0</v>
      </c>
      <c r="N24" s="164"/>
      <c r="O24" s="1183"/>
      <c r="P24" s="1184"/>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172" t="s">
        <v>217</v>
      </c>
      <c r="D25" s="1172"/>
      <c r="E25" s="1279" t="str">
        <f>IF(SUM(B25:B29)=Q11,"GC 76000 PA ($" &amp;Q11 &amp; " for every 10) breakdown per local board of supervisor resolution (BOS).","ERROR! GC 76000 PA total is not $" &amp;Q11&amp; ". Check Court's board resolution.")</f>
        <v>ERROR! GC 76000 PA total is not $7. Check Court's board resolution.</v>
      </c>
      <c r="F25" s="1280"/>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183"/>
      <c r="P25" s="1184"/>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172" t="s">
        <v>218</v>
      </c>
      <c r="D26" s="1172"/>
      <c r="E26" s="1281"/>
      <c r="F26" s="1282"/>
      <c r="G26" s="694" t="s">
        <v>32</v>
      </c>
      <c r="H26" s="77" t="s">
        <v>35</v>
      </c>
      <c r="I26" s="155">
        <f t="shared" si="7"/>
        <v>0</v>
      </c>
      <c r="J26" s="162"/>
      <c r="K26" s="162">
        <f t="shared" si="8"/>
        <v>0</v>
      </c>
      <c r="L26" s="162">
        <f t="shared" si="9"/>
        <v>0</v>
      </c>
      <c r="M26" s="167">
        <f t="shared" si="10"/>
        <v>0</v>
      </c>
      <c r="N26" s="164"/>
      <c r="O26" s="1183"/>
      <c r="P26" s="1184"/>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172" t="s">
        <v>219</v>
      </c>
      <c r="D27" s="1172"/>
      <c r="E27" s="1281"/>
      <c r="F27" s="1282"/>
      <c r="G27" s="694" t="s">
        <v>32</v>
      </c>
      <c r="H27" s="77" t="s">
        <v>65</v>
      </c>
      <c r="I27" s="155">
        <f t="shared" si="7"/>
        <v>0</v>
      </c>
      <c r="J27" s="162"/>
      <c r="K27" s="162">
        <f t="shared" si="8"/>
        <v>0</v>
      </c>
      <c r="L27" s="162">
        <f t="shared" si="9"/>
        <v>0</v>
      </c>
      <c r="M27" s="167">
        <f t="shared" si="10"/>
        <v>0</v>
      </c>
      <c r="N27" s="164"/>
      <c r="O27" s="1183"/>
      <c r="P27" s="1184"/>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172" t="s">
        <v>401</v>
      </c>
      <c r="D28" s="1172"/>
      <c r="E28" s="1281"/>
      <c r="F28" s="1282"/>
      <c r="G28" s="694" t="s">
        <v>32</v>
      </c>
      <c r="H28" s="77" t="s">
        <v>65</v>
      </c>
      <c r="I28" s="155">
        <f>$D$11*B28</f>
        <v>0</v>
      </c>
      <c r="J28" s="162"/>
      <c r="K28" s="162">
        <f>I28-J28</f>
        <v>0</v>
      </c>
      <c r="L28" s="162">
        <f>IF(A28="Y", K28*2%,0)</f>
        <v>0</v>
      </c>
      <c r="M28" s="167">
        <f>K28-L28</f>
        <v>0</v>
      </c>
      <c r="N28" s="164"/>
      <c r="O28" s="1183"/>
      <c r="P28" s="1184"/>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172" t="s">
        <v>254</v>
      </c>
      <c r="D29" s="1172"/>
      <c r="E29" s="1283"/>
      <c r="F29" s="1284"/>
      <c r="G29" s="694" t="s">
        <v>32</v>
      </c>
      <c r="H29" s="77"/>
      <c r="I29" s="155">
        <f t="shared" si="7"/>
        <v>0</v>
      </c>
      <c r="J29" s="162"/>
      <c r="K29" s="162">
        <f t="shared" si="8"/>
        <v>0</v>
      </c>
      <c r="L29" s="162">
        <f t="shared" si="9"/>
        <v>0</v>
      </c>
      <c r="M29" s="167">
        <f t="shared" si="10"/>
        <v>0</v>
      </c>
      <c r="N29" s="164"/>
      <c r="O29" s="1183"/>
      <c r="P29" s="1184"/>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154" t="s">
        <v>286</v>
      </c>
      <c r="D30" s="1155"/>
      <c r="E30" s="1155"/>
      <c r="F30" s="1232"/>
      <c r="G30" s="702" t="s">
        <v>32</v>
      </c>
      <c r="H30" s="84" t="s">
        <v>36</v>
      </c>
      <c r="I30" s="155">
        <f t="shared" si="7"/>
        <v>0</v>
      </c>
      <c r="J30" s="162"/>
      <c r="K30" s="162">
        <f t="shared" si="8"/>
        <v>0</v>
      </c>
      <c r="L30" s="162">
        <f t="shared" si="9"/>
        <v>0</v>
      </c>
      <c r="M30" s="167">
        <f t="shared" si="10"/>
        <v>0</v>
      </c>
      <c r="N30" s="164"/>
      <c r="O30" s="1183"/>
      <c r="P30" s="1184"/>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154" t="s">
        <v>385</v>
      </c>
      <c r="D31" s="1155"/>
      <c r="E31" s="1155"/>
      <c r="F31" s="1232"/>
      <c r="G31" s="702" t="s">
        <v>31</v>
      </c>
      <c r="H31" s="91" t="s">
        <v>39</v>
      </c>
      <c r="I31" s="204">
        <v>4</v>
      </c>
      <c r="J31" s="162"/>
      <c r="K31" s="162">
        <f>I31-J31</f>
        <v>4</v>
      </c>
      <c r="L31" s="162">
        <f>IF(A31="Y", K31*2%,0)</f>
        <v>0.08</v>
      </c>
      <c r="M31" s="167">
        <f>K31-L31</f>
        <v>3.92</v>
      </c>
      <c r="N31" s="164"/>
      <c r="O31" s="1183"/>
      <c r="P31" s="1184"/>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154" t="s">
        <v>555</v>
      </c>
      <c r="D32" s="1155"/>
      <c r="E32" s="1232"/>
      <c r="F32" s="1088" t="s">
        <v>281</v>
      </c>
      <c r="G32" s="702" t="s">
        <v>31</v>
      </c>
      <c r="H32" s="84" t="s">
        <v>37</v>
      </c>
      <c r="I32" s="155">
        <f>$D$11*B32</f>
        <v>0</v>
      </c>
      <c r="J32" s="162"/>
      <c r="K32" s="162">
        <f>I32-J32</f>
        <v>0</v>
      </c>
      <c r="L32" s="162">
        <f>IF(A32="Y", K32*2%,0)</f>
        <v>0</v>
      </c>
      <c r="M32" s="167">
        <f>K32-L32</f>
        <v>0</v>
      </c>
      <c r="N32" s="164"/>
      <c r="O32" s="1183"/>
      <c r="P32" s="1184"/>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154" t="s">
        <v>556</v>
      </c>
      <c r="D33" s="1155"/>
      <c r="E33" s="1232"/>
      <c r="F33" s="1089"/>
      <c r="G33" s="702" t="s">
        <v>31</v>
      </c>
      <c r="H33" s="84" t="s">
        <v>197</v>
      </c>
      <c r="I33" s="155">
        <f t="shared" si="7"/>
        <v>0</v>
      </c>
      <c r="J33" s="162"/>
      <c r="K33" s="162">
        <f t="shared" si="8"/>
        <v>0</v>
      </c>
      <c r="L33" s="162">
        <f t="shared" si="9"/>
        <v>0</v>
      </c>
      <c r="M33" s="167">
        <f t="shared" si="10"/>
        <v>0</v>
      </c>
      <c r="N33" s="164"/>
      <c r="O33" s="1183"/>
      <c r="P33" s="1184"/>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154" t="s">
        <v>220</v>
      </c>
      <c r="D34" s="1155"/>
      <c r="E34" s="1155"/>
      <c r="F34" s="1232"/>
      <c r="G34" s="702" t="s">
        <v>31</v>
      </c>
      <c r="H34" s="84" t="s">
        <v>10</v>
      </c>
      <c r="I34" s="155">
        <f>$D$10*20%</f>
        <v>0</v>
      </c>
      <c r="J34" s="162"/>
      <c r="K34" s="162">
        <f>I34-J34</f>
        <v>0</v>
      </c>
      <c r="L34" s="162">
        <f t="shared" si="9"/>
        <v>0</v>
      </c>
      <c r="M34" s="167">
        <f>I34-L34</f>
        <v>0</v>
      </c>
      <c r="N34" s="164"/>
      <c r="O34" s="1183"/>
      <c r="P34" s="1184"/>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229" t="s">
        <v>221</v>
      </c>
      <c r="D35" s="1230"/>
      <c r="E35" s="1230"/>
      <c r="F35" s="1231"/>
      <c r="G35" s="703"/>
      <c r="H35" s="88"/>
      <c r="I35" s="157">
        <f>SUM(I16:I34)</f>
        <v>4</v>
      </c>
      <c r="J35" s="277"/>
      <c r="K35" s="277">
        <f>SUM(K18:K34)</f>
        <v>4</v>
      </c>
      <c r="L35" s="162"/>
      <c r="M35" s="168">
        <f>SUM(M16:M34)</f>
        <v>3.92</v>
      </c>
      <c r="N35" s="165"/>
      <c r="O35" s="1154"/>
      <c r="P35" s="1239"/>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154" t="s">
        <v>419</v>
      </c>
      <c r="D36" s="1155"/>
      <c r="E36" s="1155"/>
      <c r="F36" s="1232"/>
      <c r="G36" s="702" t="s">
        <v>31</v>
      </c>
      <c r="H36" s="91"/>
      <c r="I36" s="204">
        <v>40</v>
      </c>
      <c r="J36" s="162"/>
      <c r="K36" s="162">
        <f>I36</f>
        <v>40</v>
      </c>
      <c r="L36" s="162">
        <f t="shared" ref="L36:L40" si="11">IF(A36="Y", I36*2%,0)</f>
        <v>0</v>
      </c>
      <c r="M36" s="167">
        <f t="shared" ref="M36:M40" si="12">I36-L36</f>
        <v>40</v>
      </c>
      <c r="N36" s="164"/>
      <c r="O36" s="1183"/>
      <c r="P36" s="1184"/>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233" t="s">
        <v>259</v>
      </c>
      <c r="D37" s="1234"/>
      <c r="E37" s="1234"/>
      <c r="F37" s="1235"/>
      <c r="G37" s="704" t="s">
        <v>31</v>
      </c>
      <c r="H37" s="92" t="s">
        <v>197</v>
      </c>
      <c r="I37" s="204">
        <v>35</v>
      </c>
      <c r="J37" s="162"/>
      <c r="K37" s="162">
        <f t="shared" ref="K37:K40" si="16">I37</f>
        <v>35</v>
      </c>
      <c r="L37" s="162">
        <f t="shared" si="11"/>
        <v>0</v>
      </c>
      <c r="M37" s="167">
        <f t="shared" si="12"/>
        <v>35</v>
      </c>
      <c r="N37" s="164"/>
      <c r="O37" s="1183"/>
      <c r="P37" s="1184"/>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233" t="s">
        <v>421</v>
      </c>
      <c r="D38" s="1234"/>
      <c r="E38" s="1234"/>
      <c r="F38" s="1235"/>
      <c r="G38" s="704" t="s">
        <v>230</v>
      </c>
      <c r="H38" s="92" t="s">
        <v>24</v>
      </c>
      <c r="I38" s="204"/>
      <c r="J38" s="162"/>
      <c r="K38" s="162">
        <f t="shared" si="16"/>
        <v>0</v>
      </c>
      <c r="L38" s="162">
        <f t="shared" si="11"/>
        <v>0</v>
      </c>
      <c r="M38" s="167">
        <f t="shared" si="12"/>
        <v>0</v>
      </c>
      <c r="N38" s="164"/>
      <c r="O38" s="1183"/>
      <c r="P38" s="1184"/>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154" t="s">
        <v>517</v>
      </c>
      <c r="D39" s="1155"/>
      <c r="E39" s="1155"/>
      <c r="F39" s="1232"/>
      <c r="G39" s="704" t="s">
        <v>230</v>
      </c>
      <c r="H39" s="92" t="s">
        <v>82</v>
      </c>
      <c r="I39" s="204"/>
      <c r="J39" s="162"/>
      <c r="K39" s="162">
        <f t="shared" si="16"/>
        <v>0</v>
      </c>
      <c r="L39" s="162">
        <f t="shared" si="11"/>
        <v>0</v>
      </c>
      <c r="M39" s="167">
        <f t="shared" si="12"/>
        <v>0</v>
      </c>
      <c r="N39" s="164"/>
      <c r="O39" s="1183"/>
      <c r="P39" s="1184"/>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233" t="s">
        <v>225</v>
      </c>
      <c r="D40" s="1234"/>
      <c r="E40" s="1234"/>
      <c r="F40" s="1235"/>
      <c r="G40" s="704" t="s">
        <v>31</v>
      </c>
      <c r="H40" s="92" t="s">
        <v>80</v>
      </c>
      <c r="I40" s="204"/>
      <c r="J40" s="162"/>
      <c r="K40" s="162">
        <f t="shared" si="16"/>
        <v>0</v>
      </c>
      <c r="L40" s="162">
        <f t="shared" si="11"/>
        <v>0</v>
      </c>
      <c r="M40" s="167">
        <f t="shared" si="12"/>
        <v>0</v>
      </c>
      <c r="N40" s="164"/>
      <c r="O40" s="1183"/>
      <c r="P40" s="1184"/>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183" t="s">
        <v>492</v>
      </c>
      <c r="D41" s="1240"/>
      <c r="E41" s="1240"/>
      <c r="F41" s="1241"/>
      <c r="G41" s="705" t="s">
        <v>31</v>
      </c>
      <c r="H41" s="96" t="s">
        <v>41</v>
      </c>
      <c r="I41" s="97"/>
      <c r="J41" s="163"/>
      <c r="K41" s="163"/>
      <c r="L41" s="163"/>
      <c r="M41" s="169">
        <f>L42</f>
        <v>0.08</v>
      </c>
      <c r="N41" s="164"/>
      <c r="O41" s="1183"/>
      <c r="P41" s="1184"/>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276" t="s">
        <v>61</v>
      </c>
      <c r="B44" s="1276"/>
      <c r="C44" s="1276"/>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492"/>
      <c r="C45" s="1493"/>
      <c r="D45" s="1493"/>
      <c r="E45" s="1493"/>
      <c r="F45" s="1493"/>
      <c r="G45" s="1493"/>
      <c r="H45" s="1493"/>
      <c r="I45" s="1493"/>
      <c r="J45" s="1493"/>
      <c r="K45" s="1493"/>
      <c r="L45" s="1493"/>
      <c r="M45" s="1493"/>
      <c r="N45" s="1493"/>
      <c r="O45" s="1493"/>
      <c r="P45" s="1493"/>
      <c r="Q45" s="1493"/>
      <c r="R45" s="1493"/>
      <c r="S45" s="1493"/>
      <c r="T45" s="1493"/>
      <c r="U45" s="1493"/>
      <c r="V45" s="1493"/>
      <c r="W45" s="1493"/>
      <c r="X45" s="1493"/>
      <c r="Y45" s="1494"/>
    </row>
    <row r="46" spans="1:30" s="141" customFormat="1" ht="18" customHeight="1" x14ac:dyDescent="0.2">
      <c r="A46" s="769">
        <v>2</v>
      </c>
      <c r="B46" s="1492"/>
      <c r="C46" s="1493"/>
      <c r="D46" s="1493"/>
      <c r="E46" s="1493"/>
      <c r="F46" s="1493"/>
      <c r="G46" s="1493"/>
      <c r="H46" s="1493"/>
      <c r="I46" s="1493"/>
      <c r="J46" s="1493"/>
      <c r="K46" s="1493"/>
      <c r="L46" s="1493"/>
      <c r="M46" s="1493"/>
      <c r="N46" s="1493"/>
      <c r="O46" s="1493"/>
      <c r="P46" s="1493"/>
      <c r="Q46" s="1493"/>
      <c r="R46" s="1493"/>
      <c r="S46" s="1493"/>
      <c r="T46" s="1493"/>
      <c r="U46" s="1493"/>
      <c r="V46" s="1493"/>
      <c r="W46" s="1493"/>
      <c r="X46" s="1493"/>
      <c r="Y46" s="1494"/>
    </row>
    <row r="47" spans="1:30" s="141" customFormat="1" ht="19.5" customHeight="1" x14ac:dyDescent="0.2">
      <c r="A47" s="769">
        <v>3</v>
      </c>
      <c r="B47" s="1492"/>
      <c r="C47" s="1493"/>
      <c r="D47" s="1493"/>
      <c r="E47" s="1493"/>
      <c r="F47" s="1493"/>
      <c r="G47" s="1493"/>
      <c r="H47" s="1493"/>
      <c r="I47" s="1493"/>
      <c r="J47" s="1493"/>
      <c r="K47" s="1493"/>
      <c r="L47" s="1493"/>
      <c r="M47" s="1493"/>
      <c r="N47" s="1493"/>
      <c r="O47" s="1493"/>
      <c r="P47" s="1493"/>
      <c r="Q47" s="1493"/>
      <c r="R47" s="1493"/>
      <c r="S47" s="1493"/>
      <c r="T47" s="1493"/>
      <c r="U47" s="1493"/>
      <c r="V47" s="1493"/>
      <c r="W47" s="1493"/>
      <c r="X47" s="1493"/>
      <c r="Y47" s="1494"/>
    </row>
    <row r="48" spans="1:30" s="54" customFormat="1" ht="22.5" customHeight="1" x14ac:dyDescent="0.2">
      <c r="A48" s="769">
        <v>4</v>
      </c>
      <c r="B48" s="1492"/>
      <c r="C48" s="1493"/>
      <c r="D48" s="1493"/>
      <c r="E48" s="1493"/>
      <c r="F48" s="1493"/>
      <c r="G48" s="1493"/>
      <c r="H48" s="1493"/>
      <c r="I48" s="1493"/>
      <c r="J48" s="1493"/>
      <c r="K48" s="1493"/>
      <c r="L48" s="1493"/>
      <c r="M48" s="1493"/>
      <c r="N48" s="1493"/>
      <c r="O48" s="1493"/>
      <c r="P48" s="1493"/>
      <c r="Q48" s="1493"/>
      <c r="R48" s="1493"/>
      <c r="S48" s="1493"/>
      <c r="T48" s="1493"/>
      <c r="U48" s="1493"/>
      <c r="V48" s="1493"/>
      <c r="W48" s="1493"/>
      <c r="X48" s="1493"/>
      <c r="Y48" s="1494"/>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105" priority="20" stopIfTrue="1" operator="equal">
      <formula>0</formula>
    </cfRule>
  </conditionalFormatting>
  <conditionalFormatting sqref="W12:X13 W44:X44 W49:X65532">
    <cfRule type="cellIs" dxfId="104" priority="19" stopIfTrue="1" operator="notEqual">
      <formula>0</formula>
    </cfRule>
  </conditionalFormatting>
  <conditionalFormatting sqref="I16:I18">
    <cfRule type="cellIs" dxfId="103" priority="18" stopIfTrue="1" operator="equal">
      <formula>0</formula>
    </cfRule>
  </conditionalFormatting>
  <conditionalFormatting sqref="O16:Q41">
    <cfRule type="expression" dxfId="102" priority="16">
      <formula>MOD(ROW(),2)=0</formula>
    </cfRule>
  </conditionalFormatting>
  <conditionalFormatting sqref="J18:M41 I18:I30 I32:I35">
    <cfRule type="cellIs" dxfId="101" priority="15" operator="equal">
      <formula>0</formula>
    </cfRule>
  </conditionalFormatting>
  <conditionalFormatting sqref="X18:X41">
    <cfRule type="cellIs" dxfId="100" priority="3" operator="greaterThan">
      <formula>0</formula>
    </cfRule>
  </conditionalFormatting>
  <conditionalFormatting sqref="E25">
    <cfRule type="cellIs" dxfId="99"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87" t="s">
        <v>316</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6"/>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78" t="s">
        <v>28</v>
      </c>
      <c r="G4" s="1198"/>
      <c r="H4" s="187"/>
      <c r="I4" s="1520"/>
      <c r="J4" s="1520"/>
      <c r="K4" s="1520"/>
      <c r="L4" s="1521"/>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371" t="s">
        <v>244</v>
      </c>
      <c r="G5" s="1220"/>
      <c r="H5" s="185"/>
      <c r="I5" s="1518"/>
      <c r="J5" s="1518"/>
      <c r="K5" s="1518"/>
      <c r="L5" s="1519"/>
      <c r="M5" s="1338" t="s">
        <v>22</v>
      </c>
      <c r="N5" s="1338"/>
      <c r="O5" s="58"/>
      <c r="P5" s="238"/>
      <c r="Q5" s="1339" t="s">
        <v>302</v>
      </c>
      <c r="R5" s="1340"/>
      <c r="S5" s="1340"/>
      <c r="T5" s="1340"/>
      <c r="U5" s="1340"/>
      <c r="V5" s="1340"/>
      <c r="W5" s="1341"/>
      <c r="Y5" s="172" t="s">
        <v>31</v>
      </c>
      <c r="Z5" s="176">
        <f>SUMIF($G$16:$G$41,"STATE",$K$16:$K$41)</f>
        <v>79</v>
      </c>
      <c r="AA5" s="176">
        <f>SUMIF($G$16:$G$41,"STATE",$S$16:$S$41)</f>
        <v>0</v>
      </c>
    </row>
    <row r="6" spans="1:28" s="57" customFormat="1" ht="16.5" thickBot="1" x14ac:dyDescent="0.25">
      <c r="A6" s="1200" t="s">
        <v>12</v>
      </c>
      <c r="B6" s="1201"/>
      <c r="C6" s="1201"/>
      <c r="D6" s="1221"/>
      <c r="E6" s="1333"/>
      <c r="F6" s="1371" t="s">
        <v>20</v>
      </c>
      <c r="G6" s="1220"/>
      <c r="H6" s="185"/>
      <c r="I6" s="1518" t="s">
        <v>317</v>
      </c>
      <c r="J6" s="1518"/>
      <c r="K6" s="1518"/>
      <c r="L6" s="1519"/>
      <c r="M6" s="1334" t="s">
        <v>233</v>
      </c>
      <c r="N6" s="1334"/>
      <c r="O6" s="212">
        <f>O4+O5*10</f>
        <v>0</v>
      </c>
      <c r="P6" s="238"/>
      <c r="Q6" s="1335" t="s">
        <v>573</v>
      </c>
      <c r="R6" s="1336"/>
      <c r="S6" s="1336"/>
      <c r="T6" s="1336"/>
      <c r="U6" s="1336"/>
      <c r="V6" s="1336"/>
      <c r="W6" s="1337"/>
      <c r="Y6" s="172" t="s">
        <v>32</v>
      </c>
      <c r="Z6" s="176">
        <f>SUMIF($G$16:$G$41,"COUNTY",$K$16:$K$41)</f>
        <v>0</v>
      </c>
      <c r="AA6" s="176">
        <f>SUMIF($G$16:$G$41,"COUNTY",$S$16:$S$41)</f>
        <v>0</v>
      </c>
    </row>
    <row r="7" spans="1:28" s="57" customFormat="1" ht="16.5" thickBot="1" x14ac:dyDescent="0.25">
      <c r="A7" s="1200" t="s">
        <v>5</v>
      </c>
      <c r="B7" s="1201"/>
      <c r="C7" s="1201"/>
      <c r="D7" s="1158"/>
      <c r="E7" s="1193"/>
      <c r="F7" s="1362" t="s">
        <v>21</v>
      </c>
      <c r="G7" s="1173"/>
      <c r="H7" s="186"/>
      <c r="I7" s="1516" t="s">
        <v>3</v>
      </c>
      <c r="J7" s="1516"/>
      <c r="K7" s="1516"/>
      <c r="L7" s="1517"/>
      <c r="M7" s="235"/>
      <c r="N7" s="242"/>
      <c r="O7" s="236"/>
      <c r="P7" s="238"/>
      <c r="Q7" s="1323" t="s">
        <v>235</v>
      </c>
      <c r="R7" s="1324"/>
      <c r="S7" s="1324"/>
      <c r="T7" s="1324"/>
      <c r="U7" s="1324"/>
      <c r="V7" s="1324"/>
      <c r="W7" s="1325"/>
      <c r="Y7" s="172" t="s">
        <v>52</v>
      </c>
      <c r="Z7" s="176">
        <f>SUMIF($G$16:$G$41,"CITY",$K$16:$K$41)</f>
        <v>0</v>
      </c>
      <c r="AA7" s="176">
        <f>SUMIF($G$16:$G$41,"CITY",$S$16:$S$41)</f>
        <v>0</v>
      </c>
    </row>
    <row r="8" spans="1:28" s="57" customFormat="1" ht="15.75" customHeight="1" x14ac:dyDescent="0.2">
      <c r="A8" s="1326" t="s">
        <v>54</v>
      </c>
      <c r="B8" s="1327"/>
      <c r="C8" s="1327"/>
      <c r="D8" s="1328">
        <v>1</v>
      </c>
      <c r="E8" s="1372"/>
      <c r="F8" s="1378" t="s">
        <v>253</v>
      </c>
      <c r="G8" s="1198"/>
      <c r="H8" s="187"/>
      <c r="I8" s="1520"/>
      <c r="J8" s="1520"/>
      <c r="K8" s="1520"/>
      <c r="L8" s="1521"/>
      <c r="M8" s="1373" t="s">
        <v>257</v>
      </c>
      <c r="N8" s="1373"/>
      <c r="O8" s="55">
        <v>0</v>
      </c>
      <c r="P8" s="239"/>
      <c r="Q8" s="1314" t="s">
        <v>303</v>
      </c>
      <c r="R8" s="1266"/>
      <c r="S8" s="1266"/>
      <c r="T8" s="1266"/>
      <c r="U8" s="1266"/>
      <c r="V8" s="1266"/>
      <c r="W8" s="1315"/>
      <c r="Y8" s="172" t="s">
        <v>230</v>
      </c>
      <c r="Z8" s="176">
        <f>SUMIF($G$16:$G$41,"COURT",$K$16:$K$41)</f>
        <v>0</v>
      </c>
      <c r="AA8" s="176">
        <f>SUMIF($G$16:$G$41,"COURT",$S$16:$S$41)</f>
        <v>0</v>
      </c>
    </row>
    <row r="9" spans="1:28" s="57" customFormat="1" ht="18" customHeight="1" thickBot="1" x14ac:dyDescent="0.25">
      <c r="A9" s="1318" t="s">
        <v>53</v>
      </c>
      <c r="B9" s="1319"/>
      <c r="C9" s="1319"/>
      <c r="D9" s="1189">
        <f>100%-D8</f>
        <v>0</v>
      </c>
      <c r="E9" s="1190"/>
      <c r="F9" s="1371" t="s">
        <v>244</v>
      </c>
      <c r="G9" s="1220"/>
      <c r="H9" s="185"/>
      <c r="I9" s="1518"/>
      <c r="J9" s="1518"/>
      <c r="K9" s="1518"/>
      <c r="L9" s="1519"/>
      <c r="M9" s="1338" t="s">
        <v>22</v>
      </c>
      <c r="N9" s="1338"/>
      <c r="O9" s="58"/>
      <c r="P9" s="239"/>
      <c r="Q9" s="1316"/>
      <c r="R9" s="1269"/>
      <c r="S9" s="1269"/>
      <c r="T9" s="1269"/>
      <c r="U9" s="1269"/>
      <c r="V9" s="1269"/>
      <c r="W9" s="1317"/>
      <c r="Y9" s="153" t="s">
        <v>446</v>
      </c>
      <c r="Z9" s="176">
        <f>SUMIF($G$16:$G$41,"CNTY or CTY",$K$16:$K$41)</f>
        <v>0</v>
      </c>
      <c r="AA9" s="176">
        <f>SUMIF($G$16:$G$41,"CNTY or CTY",$S$16:$S$41)</f>
        <v>0</v>
      </c>
    </row>
    <row r="10" spans="1:28" s="57" customFormat="1" ht="16.5" customHeight="1" thickBot="1" x14ac:dyDescent="0.25">
      <c r="A10" s="1152" t="s">
        <v>276</v>
      </c>
      <c r="B10" s="1153"/>
      <c r="C10" s="1153"/>
      <c r="D10" s="1148">
        <f>O6+O10</f>
        <v>0</v>
      </c>
      <c r="E10" s="1149"/>
      <c r="F10" s="1371" t="s">
        <v>20</v>
      </c>
      <c r="G10" s="1220"/>
      <c r="H10" s="185"/>
      <c r="I10" s="1518"/>
      <c r="J10" s="1518"/>
      <c r="K10" s="1518"/>
      <c r="L10" s="1519"/>
      <c r="M10" s="1334" t="s">
        <v>233</v>
      </c>
      <c r="N10" s="1334"/>
      <c r="O10" s="212">
        <f>O8+O9*10</f>
        <v>0</v>
      </c>
      <c r="P10" s="240"/>
      <c r="Q10" s="1311" t="s">
        <v>239</v>
      </c>
      <c r="R10" s="1312"/>
      <c r="S10" s="1312"/>
      <c r="T10" s="1312"/>
      <c r="U10" s="1312"/>
      <c r="V10" s="1312"/>
      <c r="W10" s="1313"/>
      <c r="Y10" s="274" t="s">
        <v>246</v>
      </c>
      <c r="Z10" s="148">
        <f>SUM(Z5:Z9)</f>
        <v>79</v>
      </c>
      <c r="AA10" s="148">
        <f>SUM(AA5:AA9)</f>
        <v>0</v>
      </c>
    </row>
    <row r="11" spans="1:28" s="57" customFormat="1" ht="16.5" customHeight="1" thickBot="1" x14ac:dyDescent="0.25">
      <c r="A11" s="1150" t="s">
        <v>277</v>
      </c>
      <c r="B11" s="1151"/>
      <c r="C11" s="1151"/>
      <c r="D11" s="1146">
        <f>ROUNDUP(D10/10,0)</f>
        <v>0</v>
      </c>
      <c r="E11" s="1147"/>
      <c r="F11" s="1362" t="s">
        <v>21</v>
      </c>
      <c r="G11" s="1173"/>
      <c r="H11" s="186"/>
      <c r="I11" s="1516"/>
      <c r="J11" s="1516"/>
      <c r="K11" s="1516"/>
      <c r="L11" s="1517"/>
      <c r="M11" s="1416" t="s">
        <v>568</v>
      </c>
      <c r="N11" s="1417"/>
      <c r="O11" s="780">
        <f>'1-DUI (Reduce Base)'!P11</f>
        <v>7</v>
      </c>
      <c r="P11" s="240"/>
      <c r="Q11" s="1296" t="s">
        <v>430</v>
      </c>
      <c r="R11" s="1297"/>
      <c r="S11" s="1297"/>
      <c r="T11" s="1297"/>
      <c r="U11" s="1297"/>
      <c r="V11" s="1297"/>
      <c r="W11" s="129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291">
        <v>0.02</v>
      </c>
      <c r="B14" s="291" t="s">
        <v>58</v>
      </c>
      <c r="C14" s="1160" t="s">
        <v>226</v>
      </c>
      <c r="D14" s="1161"/>
      <c r="E14" s="1161"/>
      <c r="F14" s="1162"/>
      <c r="G14" s="290" t="s">
        <v>249</v>
      </c>
      <c r="H14" s="114" t="s">
        <v>0</v>
      </c>
      <c r="I14" s="1360" t="s">
        <v>298</v>
      </c>
      <c r="J14" s="1287" t="s">
        <v>6</v>
      </c>
      <c r="K14" s="289" t="s">
        <v>299</v>
      </c>
      <c r="L14" s="67"/>
      <c r="M14" s="1256" t="s">
        <v>260</v>
      </c>
      <c r="N14" s="1257"/>
      <c r="O14" s="288" t="s">
        <v>248</v>
      </c>
      <c r="P14" s="121"/>
      <c r="Q14" s="690" t="s">
        <v>428</v>
      </c>
      <c r="R14" s="1287" t="s">
        <v>6</v>
      </c>
      <c r="S14" s="289" t="s">
        <v>299</v>
      </c>
      <c r="T14" s="228"/>
      <c r="U14" s="273" t="s">
        <v>256</v>
      </c>
      <c r="V14" s="1289" t="s">
        <v>61</v>
      </c>
      <c r="W14" s="1522" t="s">
        <v>384</v>
      </c>
    </row>
    <row r="15" spans="1:28" ht="30.75" customHeight="1" thickBot="1" x14ac:dyDescent="0.25">
      <c r="A15" s="292"/>
      <c r="B15" s="292"/>
      <c r="C15" s="1163"/>
      <c r="D15" s="1164"/>
      <c r="E15" s="1164"/>
      <c r="F15" s="1165"/>
      <c r="G15" s="293"/>
      <c r="H15" s="293"/>
      <c r="I15" s="1361"/>
      <c r="J15" s="1288"/>
      <c r="K15" s="244" t="s">
        <v>42</v>
      </c>
      <c r="L15" s="68"/>
      <c r="M15" s="1254"/>
      <c r="N15" s="1255"/>
      <c r="O15" s="297" t="s">
        <v>43</v>
      </c>
      <c r="P15" s="121"/>
      <c r="Q15" s="246" t="e">
        <f>(Q35-Q31)/(I35-I31)</f>
        <v>#DIV/0!</v>
      </c>
      <c r="R15" s="1288"/>
      <c r="S15" s="244" t="s">
        <v>44</v>
      </c>
      <c r="T15" s="228"/>
      <c r="U15" s="298" t="s">
        <v>300</v>
      </c>
      <c r="V15" s="1387"/>
      <c r="W15" s="1292"/>
    </row>
    <row r="16" spans="1:28" s="74" customFormat="1" ht="15.75" hidden="1" customHeight="1" thickTop="1" x14ac:dyDescent="0.2">
      <c r="A16" s="69" t="s">
        <v>8</v>
      </c>
      <c r="B16" s="195"/>
      <c r="C16" s="1226"/>
      <c r="D16" s="1226"/>
      <c r="E16" s="1226"/>
      <c r="F16" s="1226"/>
      <c r="G16" s="70"/>
      <c r="H16" s="71"/>
      <c r="I16" s="154"/>
      <c r="J16" s="162"/>
      <c r="K16" s="198"/>
      <c r="L16" s="164"/>
      <c r="M16" s="1271"/>
      <c r="N16" s="1272"/>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183"/>
      <c r="D17" s="1240"/>
      <c r="E17" s="1240"/>
      <c r="F17" s="1241"/>
      <c r="G17" s="76"/>
      <c r="H17" s="77"/>
      <c r="I17" s="156"/>
      <c r="J17" s="162"/>
      <c r="K17" s="167"/>
      <c r="L17" s="164"/>
      <c r="M17" s="1183"/>
      <c r="N17" s="1184"/>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226"/>
      <c r="D18" s="1226"/>
      <c r="E18" s="1226"/>
      <c r="F18" s="1226"/>
      <c r="G18" s="281"/>
      <c r="H18" s="77"/>
      <c r="I18" s="156"/>
      <c r="J18" s="162"/>
      <c r="K18" s="167"/>
      <c r="L18" s="164"/>
      <c r="M18" s="1183"/>
      <c r="N18" s="1184"/>
      <c r="O18" s="190"/>
      <c r="P18" s="72"/>
      <c r="Q18" s="160"/>
      <c r="R18" s="162"/>
      <c r="S18" s="167"/>
      <c r="T18" s="229"/>
      <c r="U18" s="181"/>
      <c r="V18" s="181"/>
      <c r="W18" s="73"/>
      <c r="X18" s="125"/>
      <c r="Y18" s="125"/>
      <c r="Z18" s="125"/>
      <c r="AA18" s="125"/>
      <c r="AB18" s="125"/>
    </row>
    <row r="19" spans="1:28" s="74" customFormat="1" ht="15.75" customHeight="1" x14ac:dyDescent="0.2">
      <c r="A19" s="69" t="s">
        <v>8</v>
      </c>
      <c r="B19" s="1355" t="s">
        <v>241</v>
      </c>
      <c r="C19" s="1172" t="s">
        <v>212</v>
      </c>
      <c r="D19" s="1172"/>
      <c r="E19" s="1172"/>
      <c r="F19" s="1172"/>
      <c r="G19" s="694" t="s">
        <v>32</v>
      </c>
      <c r="H19" s="77" t="s">
        <v>27</v>
      </c>
      <c r="I19" s="155">
        <f>(D10-SUM(I16:I18))*D8</f>
        <v>0</v>
      </c>
      <c r="J19" s="162">
        <f>IF(A19="Y",I19* 2%,0)</f>
        <v>0</v>
      </c>
      <c r="K19" s="167">
        <f>I19-J19</f>
        <v>0</v>
      </c>
      <c r="L19" s="164"/>
      <c r="M19" s="1183"/>
      <c r="N19" s="1184"/>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356"/>
      <c r="C20" s="1172" t="s">
        <v>213</v>
      </c>
      <c r="D20" s="1172"/>
      <c r="E20" s="1172"/>
      <c r="F20" s="1172"/>
      <c r="G20" s="694" t="s">
        <v>52</v>
      </c>
      <c r="H20" s="77" t="s">
        <v>25</v>
      </c>
      <c r="I20" s="155">
        <f>(D10-SUM(I16:I18))*D9</f>
        <v>0</v>
      </c>
      <c r="J20" s="162">
        <f t="shared" ref="J20:J34" si="4">IF(A20="Y",I20* 2%,0)</f>
        <v>0</v>
      </c>
      <c r="K20" s="167">
        <f t="shared" ref="K20:K33" si="5">I20-J20</f>
        <v>0</v>
      </c>
      <c r="L20" s="164"/>
      <c r="M20" s="1183"/>
      <c r="N20" s="1184"/>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72" t="s">
        <v>546</v>
      </c>
      <c r="D21" s="1172"/>
      <c r="E21" s="1172"/>
      <c r="F21" s="1172"/>
      <c r="G21" s="694" t="s">
        <v>31</v>
      </c>
      <c r="H21" s="77" t="s">
        <v>26</v>
      </c>
      <c r="I21" s="155">
        <f>$D$11*B21</f>
        <v>0</v>
      </c>
      <c r="J21" s="162">
        <f t="shared" si="4"/>
        <v>0</v>
      </c>
      <c r="K21" s="167">
        <f t="shared" si="5"/>
        <v>0</v>
      </c>
      <c r="L21" s="164"/>
      <c r="M21" s="1183"/>
      <c r="N21" s="1184"/>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72" t="s">
        <v>547</v>
      </c>
      <c r="D22" s="1172"/>
      <c r="E22" s="1172"/>
      <c r="F22" s="1172"/>
      <c r="G22" s="694" t="s">
        <v>32</v>
      </c>
      <c r="H22" s="77" t="s">
        <v>27</v>
      </c>
      <c r="I22" s="155">
        <f t="shared" ref="I22:I33" si="6">$D$11*B22</f>
        <v>0</v>
      </c>
      <c r="J22" s="162">
        <f t="shared" si="4"/>
        <v>0</v>
      </c>
      <c r="K22" s="167">
        <f t="shared" si="5"/>
        <v>0</v>
      </c>
      <c r="L22" s="164"/>
      <c r="M22" s="1183"/>
      <c r="N22" s="1184"/>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183" t="s">
        <v>216</v>
      </c>
      <c r="D23" s="1240"/>
      <c r="E23" s="1240"/>
      <c r="F23" s="1241"/>
      <c r="G23" s="694" t="s">
        <v>32</v>
      </c>
      <c r="H23" s="77" t="s">
        <v>55</v>
      </c>
      <c r="I23" s="155">
        <f t="shared" si="6"/>
        <v>0</v>
      </c>
      <c r="J23" s="162">
        <f t="shared" si="4"/>
        <v>0</v>
      </c>
      <c r="K23" s="167">
        <f t="shared" si="5"/>
        <v>0</v>
      </c>
      <c r="L23" s="164"/>
      <c r="M23" s="1183"/>
      <c r="N23" s="1184"/>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183" t="s">
        <v>466</v>
      </c>
      <c r="D24" s="1240"/>
      <c r="E24" s="1240"/>
      <c r="F24" s="1241"/>
      <c r="G24" s="694" t="s">
        <v>31</v>
      </c>
      <c r="H24" s="77" t="s">
        <v>72</v>
      </c>
      <c r="I24" s="155">
        <f t="shared" si="6"/>
        <v>0</v>
      </c>
      <c r="J24" s="162">
        <f t="shared" si="4"/>
        <v>0</v>
      </c>
      <c r="K24" s="167">
        <f t="shared" si="5"/>
        <v>0</v>
      </c>
      <c r="L24" s="164"/>
      <c r="M24" s="1183"/>
      <c r="N24" s="1184"/>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6"/>
        <v>0</v>
      </c>
      <c r="J25" s="162">
        <f t="shared" si="4"/>
        <v>0</v>
      </c>
      <c r="K25" s="167">
        <f t="shared" si="5"/>
        <v>0</v>
      </c>
      <c r="L25" s="164"/>
      <c r="M25" s="1183"/>
      <c r="N25" s="1184"/>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172" t="s">
        <v>218</v>
      </c>
      <c r="D26" s="1172"/>
      <c r="E26" s="1281"/>
      <c r="F26" s="1282"/>
      <c r="G26" s="694" t="s">
        <v>32</v>
      </c>
      <c r="H26" s="77" t="s">
        <v>35</v>
      </c>
      <c r="I26" s="155">
        <f t="shared" si="6"/>
        <v>0</v>
      </c>
      <c r="J26" s="162">
        <f t="shared" si="4"/>
        <v>0</v>
      </c>
      <c r="K26" s="167">
        <f t="shared" si="5"/>
        <v>0</v>
      </c>
      <c r="L26" s="164"/>
      <c r="M26" s="1183"/>
      <c r="N26" s="1184"/>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72" t="s">
        <v>219</v>
      </c>
      <c r="D27" s="1172"/>
      <c r="E27" s="1281"/>
      <c r="F27" s="1282"/>
      <c r="G27" s="694" t="s">
        <v>32</v>
      </c>
      <c r="H27" s="77" t="s">
        <v>65</v>
      </c>
      <c r="I27" s="155">
        <f t="shared" si="6"/>
        <v>0</v>
      </c>
      <c r="J27" s="162">
        <f t="shared" si="4"/>
        <v>0</v>
      </c>
      <c r="K27" s="167">
        <f t="shared" si="5"/>
        <v>0</v>
      </c>
      <c r="L27" s="164"/>
      <c r="M27" s="1183"/>
      <c r="N27" s="1184"/>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72" t="s">
        <v>401</v>
      </c>
      <c r="D28" s="1172"/>
      <c r="E28" s="1281"/>
      <c r="F28" s="1282"/>
      <c r="G28" s="694" t="s">
        <v>32</v>
      </c>
      <c r="H28" s="77" t="s">
        <v>65</v>
      </c>
      <c r="I28" s="155">
        <f>$D$11*B28</f>
        <v>0</v>
      </c>
      <c r="J28" s="162">
        <f>IF(A28="Y",I28* 2%,0)</f>
        <v>0</v>
      </c>
      <c r="K28" s="167">
        <f>I28-J28</f>
        <v>0</v>
      </c>
      <c r="L28" s="164"/>
      <c r="M28" s="1183"/>
      <c r="N28" s="1184"/>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72" t="s">
        <v>254</v>
      </c>
      <c r="D29" s="1172"/>
      <c r="E29" s="1283"/>
      <c r="F29" s="1284"/>
      <c r="G29" s="694" t="s">
        <v>32</v>
      </c>
      <c r="H29" s="77"/>
      <c r="I29" s="155">
        <f t="shared" si="6"/>
        <v>0</v>
      </c>
      <c r="J29" s="162">
        <f t="shared" si="4"/>
        <v>0</v>
      </c>
      <c r="K29" s="167">
        <f t="shared" si="5"/>
        <v>0</v>
      </c>
      <c r="L29" s="164"/>
      <c r="M29" s="1183"/>
      <c r="N29" s="1184"/>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54" t="s">
        <v>286</v>
      </c>
      <c r="D30" s="1155"/>
      <c r="E30" s="1155"/>
      <c r="F30" s="1232"/>
      <c r="G30" s="702" t="s">
        <v>32</v>
      </c>
      <c r="H30" s="84" t="s">
        <v>36</v>
      </c>
      <c r="I30" s="155">
        <f t="shared" si="6"/>
        <v>0</v>
      </c>
      <c r="J30" s="162">
        <f t="shared" si="4"/>
        <v>0</v>
      </c>
      <c r="K30" s="167">
        <f t="shared" si="5"/>
        <v>0</v>
      </c>
      <c r="L30" s="164"/>
      <c r="M30" s="1183"/>
      <c r="N30" s="1184"/>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154" t="s">
        <v>385</v>
      </c>
      <c r="D31" s="1155"/>
      <c r="E31" s="1155"/>
      <c r="F31" s="1232"/>
      <c r="G31" s="702" t="s">
        <v>31</v>
      </c>
      <c r="H31" s="91" t="s">
        <v>39</v>
      </c>
      <c r="I31" s="204">
        <v>4</v>
      </c>
      <c r="J31" s="162">
        <f>IF(A31="Y", I31*2%,0)</f>
        <v>0.08</v>
      </c>
      <c r="K31" s="167">
        <f>I31-J31</f>
        <v>3.92</v>
      </c>
      <c r="L31" s="164"/>
      <c r="M31" s="1183"/>
      <c r="N31" s="1184"/>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154" t="s">
        <v>555</v>
      </c>
      <c r="D32" s="1155"/>
      <c r="E32" s="1232"/>
      <c r="F32" s="1088" t="s">
        <v>281</v>
      </c>
      <c r="G32" s="702" t="s">
        <v>31</v>
      </c>
      <c r="H32" s="84" t="s">
        <v>37</v>
      </c>
      <c r="I32" s="155">
        <f t="shared" si="6"/>
        <v>0</v>
      </c>
      <c r="J32" s="162">
        <f t="shared" si="4"/>
        <v>0</v>
      </c>
      <c r="K32" s="167">
        <f t="shared" si="5"/>
        <v>0</v>
      </c>
      <c r="L32" s="164"/>
      <c r="M32" s="1183"/>
      <c r="N32" s="1184"/>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154" t="s">
        <v>556</v>
      </c>
      <c r="D33" s="1155"/>
      <c r="E33" s="1232"/>
      <c r="F33" s="1089"/>
      <c r="G33" s="702" t="s">
        <v>31</v>
      </c>
      <c r="H33" s="84" t="s">
        <v>197</v>
      </c>
      <c r="I33" s="155">
        <f t="shared" si="6"/>
        <v>0</v>
      </c>
      <c r="J33" s="162">
        <f t="shared" si="4"/>
        <v>0</v>
      </c>
      <c r="K33" s="167">
        <f t="shared" si="5"/>
        <v>0</v>
      </c>
      <c r="L33" s="164"/>
      <c r="M33" s="1183"/>
      <c r="N33" s="1184"/>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54" t="s">
        <v>220</v>
      </c>
      <c r="D34" s="1155"/>
      <c r="E34" s="1155"/>
      <c r="F34" s="1232"/>
      <c r="G34" s="702" t="s">
        <v>31</v>
      </c>
      <c r="H34" s="84" t="s">
        <v>10</v>
      </c>
      <c r="I34" s="155">
        <f>$D$10*20%</f>
        <v>0</v>
      </c>
      <c r="J34" s="162">
        <f t="shared" si="4"/>
        <v>0</v>
      </c>
      <c r="K34" s="167">
        <f>I34-J34</f>
        <v>0</v>
      </c>
      <c r="L34" s="164"/>
      <c r="M34" s="1183"/>
      <c r="N34" s="1184"/>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229" t="s">
        <v>221</v>
      </c>
      <c r="D35" s="1230"/>
      <c r="E35" s="1230"/>
      <c r="F35" s="1231"/>
      <c r="G35" s="703"/>
      <c r="H35" s="88"/>
      <c r="I35" s="157">
        <f>SUM(I16:I34)</f>
        <v>4</v>
      </c>
      <c r="J35" s="162"/>
      <c r="K35" s="168">
        <f>SUM(K16:K34)</f>
        <v>3.92</v>
      </c>
      <c r="L35" s="165"/>
      <c r="M35" s="1154"/>
      <c r="N35" s="1239"/>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154" t="s">
        <v>419</v>
      </c>
      <c r="D36" s="1155"/>
      <c r="E36" s="1155"/>
      <c r="F36" s="1232"/>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233" t="s">
        <v>259</v>
      </c>
      <c r="D37" s="1234"/>
      <c r="E37" s="1234"/>
      <c r="F37" s="1235"/>
      <c r="G37" s="704" t="s">
        <v>31</v>
      </c>
      <c r="H37" s="92" t="s">
        <v>197</v>
      </c>
      <c r="I37" s="204">
        <v>35</v>
      </c>
      <c r="J37" s="162">
        <f t="shared" ref="J37:J40" si="10">IF(A37="Y", I37*2%,0)</f>
        <v>0</v>
      </c>
      <c r="K37" s="167">
        <f t="shared" ref="K37:K40" si="11">I37-J37</f>
        <v>35</v>
      </c>
      <c r="L37" s="164"/>
      <c r="M37" s="1183"/>
      <c r="N37" s="1184"/>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233" t="s">
        <v>421</v>
      </c>
      <c r="D38" s="1234"/>
      <c r="E38" s="1234"/>
      <c r="F38" s="1235"/>
      <c r="G38" s="704" t="s">
        <v>230</v>
      </c>
      <c r="H38" s="92" t="s">
        <v>24</v>
      </c>
      <c r="I38" s="204"/>
      <c r="J38" s="162">
        <f t="shared" si="10"/>
        <v>0</v>
      </c>
      <c r="K38" s="167">
        <f t="shared" si="11"/>
        <v>0</v>
      </c>
      <c r="L38" s="164"/>
      <c r="M38" s="1183"/>
      <c r="N38" s="1184"/>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154" t="s">
        <v>517</v>
      </c>
      <c r="D39" s="1155"/>
      <c r="E39" s="1155"/>
      <c r="F39" s="1232"/>
      <c r="G39" s="704" t="s">
        <v>230</v>
      </c>
      <c r="H39" s="92" t="s">
        <v>82</v>
      </c>
      <c r="I39" s="204"/>
      <c r="J39" s="162">
        <f t="shared" si="10"/>
        <v>0</v>
      </c>
      <c r="K39" s="167">
        <f t="shared" si="11"/>
        <v>0</v>
      </c>
      <c r="L39" s="164"/>
      <c r="M39" s="1183"/>
      <c r="N39" s="1184"/>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233" t="s">
        <v>225</v>
      </c>
      <c r="D40" s="1234"/>
      <c r="E40" s="1234"/>
      <c r="F40" s="1235"/>
      <c r="G40" s="704" t="s">
        <v>31</v>
      </c>
      <c r="H40" s="92" t="s">
        <v>80</v>
      </c>
      <c r="I40" s="204"/>
      <c r="J40" s="162">
        <f t="shared" si="10"/>
        <v>0</v>
      </c>
      <c r="K40" s="167">
        <f t="shared" si="11"/>
        <v>0</v>
      </c>
      <c r="L40" s="164"/>
      <c r="M40" s="1183"/>
      <c r="N40" s="1184"/>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183" t="s">
        <v>492</v>
      </c>
      <c r="D41" s="1240"/>
      <c r="E41" s="1240"/>
      <c r="F41" s="1241"/>
      <c r="G41" s="705" t="s">
        <v>31</v>
      </c>
      <c r="H41" s="96" t="s">
        <v>41</v>
      </c>
      <c r="I41" s="97"/>
      <c r="J41" s="163"/>
      <c r="K41" s="169">
        <f>J42</f>
        <v>0.08</v>
      </c>
      <c r="L41" s="164"/>
      <c r="M41" s="1183"/>
      <c r="N41" s="1184"/>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76" t="s">
        <v>61</v>
      </c>
      <c r="B44" s="1276"/>
      <c r="C44" s="1276"/>
      <c r="D44" s="210"/>
      <c r="E44" s="133"/>
      <c r="F44" s="133"/>
      <c r="K44" s="135"/>
      <c r="L44" s="136"/>
      <c r="P44" s="137"/>
      <c r="Q44" s="137"/>
      <c r="R44" s="137"/>
      <c r="S44" s="137"/>
      <c r="T44" s="137"/>
      <c r="U44" s="138"/>
      <c r="V44" s="138"/>
      <c r="W44" s="139"/>
    </row>
    <row r="45" spans="1:28" s="141" customFormat="1" ht="18" customHeight="1" x14ac:dyDescent="0.2">
      <c r="A45" s="769">
        <v>1</v>
      </c>
      <c r="B45" s="1515"/>
      <c r="C45" s="1515"/>
      <c r="D45" s="1515"/>
      <c r="E45" s="1515"/>
      <c r="F45" s="1515"/>
      <c r="G45" s="1515"/>
      <c r="H45" s="1515"/>
      <c r="I45" s="1515"/>
      <c r="J45" s="1515"/>
      <c r="K45" s="1515"/>
      <c r="L45" s="1515"/>
      <c r="M45" s="1515"/>
      <c r="N45" s="1515"/>
      <c r="O45" s="1515"/>
      <c r="P45" s="1515"/>
      <c r="Q45" s="1515"/>
      <c r="R45" s="1515"/>
      <c r="S45" s="1515"/>
      <c r="T45" s="1515"/>
      <c r="U45" s="1515"/>
      <c r="V45" s="1515"/>
      <c r="W45" s="1515"/>
    </row>
    <row r="46" spans="1:28" s="141" customFormat="1" ht="18" customHeight="1" x14ac:dyDescent="0.2">
      <c r="A46" s="769">
        <v>2</v>
      </c>
      <c r="B46" s="1515"/>
      <c r="C46" s="1515"/>
      <c r="D46" s="1515"/>
      <c r="E46" s="1515"/>
      <c r="F46" s="1515"/>
      <c r="G46" s="1515"/>
      <c r="H46" s="1515"/>
      <c r="I46" s="1515"/>
      <c r="J46" s="1515"/>
      <c r="K46" s="1515"/>
      <c r="L46" s="1515"/>
      <c r="M46" s="1515"/>
      <c r="N46" s="1515"/>
      <c r="O46" s="1515"/>
      <c r="P46" s="1515"/>
      <c r="Q46" s="1515"/>
      <c r="R46" s="1515"/>
      <c r="S46" s="1515"/>
      <c r="T46" s="1515"/>
      <c r="U46" s="1515"/>
      <c r="V46" s="1515"/>
      <c r="W46" s="1515"/>
    </row>
    <row r="47" spans="1:28" s="141" customFormat="1" ht="18" customHeight="1" x14ac:dyDescent="0.2">
      <c r="A47" s="769">
        <v>3</v>
      </c>
      <c r="B47" s="1515"/>
      <c r="C47" s="1515"/>
      <c r="D47" s="1515"/>
      <c r="E47" s="1515"/>
      <c r="F47" s="1515"/>
      <c r="G47" s="1515"/>
      <c r="H47" s="1515"/>
      <c r="I47" s="1515"/>
      <c r="J47" s="1515"/>
      <c r="K47" s="1515"/>
      <c r="L47" s="1515"/>
      <c r="M47" s="1515"/>
      <c r="N47" s="1515"/>
      <c r="O47" s="1515"/>
      <c r="P47" s="1515"/>
      <c r="Q47" s="1515"/>
      <c r="R47" s="1515"/>
      <c r="S47" s="1515"/>
      <c r="T47" s="1515"/>
      <c r="U47" s="1515"/>
      <c r="V47" s="1515"/>
      <c r="W47" s="1515"/>
    </row>
    <row r="48" spans="1:28" s="54" customFormat="1" ht="19.5" customHeight="1" x14ac:dyDescent="0.2">
      <c r="A48" s="769">
        <v>4</v>
      </c>
      <c r="B48" s="1515"/>
      <c r="C48" s="1515"/>
      <c r="D48" s="1515"/>
      <c r="E48" s="1515"/>
      <c r="F48" s="1515"/>
      <c r="G48" s="1515"/>
      <c r="H48" s="1515"/>
      <c r="I48" s="1515"/>
      <c r="J48" s="1515"/>
      <c r="K48" s="1515"/>
      <c r="L48" s="1515"/>
      <c r="M48" s="1515"/>
      <c r="N48" s="1515"/>
      <c r="O48" s="1515"/>
      <c r="P48" s="1515"/>
      <c r="Q48" s="1515"/>
      <c r="R48" s="1515"/>
      <c r="S48" s="1515"/>
      <c r="T48" s="1515"/>
      <c r="U48" s="1515"/>
      <c r="V48" s="1515"/>
      <c r="W48" s="1515"/>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98" priority="15" stopIfTrue="1" operator="equal">
      <formula>0</formula>
    </cfRule>
  </conditionalFormatting>
  <conditionalFormatting sqref="U12:V13 U44:V44 U49:V65532">
    <cfRule type="cellIs" dxfId="97" priority="14" stopIfTrue="1" operator="notEqual">
      <formula>0</formula>
    </cfRule>
  </conditionalFormatting>
  <conditionalFormatting sqref="I16:I18">
    <cfRule type="cellIs" dxfId="96" priority="13" stopIfTrue="1" operator="equal">
      <formula>0</formula>
    </cfRule>
  </conditionalFormatting>
  <conditionalFormatting sqref="M16:O41">
    <cfRule type="expression" dxfId="95" priority="11">
      <formula>MOD(ROW(),2)=0</formula>
    </cfRule>
  </conditionalFormatting>
  <conditionalFormatting sqref="J36:K41 J31:K31 I18:K30 I32:K35">
    <cfRule type="cellIs" dxfId="94" priority="10" operator="equal">
      <formula>0</formula>
    </cfRule>
  </conditionalFormatting>
  <conditionalFormatting sqref="V19:V41">
    <cfRule type="cellIs" dxfId="93" priority="2" operator="greaterThan">
      <formula>0</formula>
    </cfRule>
  </conditionalFormatting>
  <conditionalFormatting sqref="E25">
    <cfRule type="cellIs" dxfId="92"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8"/>
  <sheetViews>
    <sheetView view="pageBreakPreview" zoomScale="80" zoomScaleNormal="80" zoomScaleSheetLayoutView="80" workbookViewId="0">
      <selection activeCell="J12" sqref="J12"/>
    </sheetView>
  </sheetViews>
  <sheetFormatPr defaultRowHeight="18.75" x14ac:dyDescent="0.2"/>
  <cols>
    <col min="1" max="1" width="4.28515625" style="98" customWidth="1"/>
    <col min="2" max="2" width="6.85546875" style="98" customWidth="1"/>
    <col min="3" max="3" width="13.5703125" style="98" customWidth="1"/>
    <col min="4" max="4" width="12" style="98" customWidth="1"/>
    <col min="5" max="5" width="11.28515625" style="99" customWidth="1"/>
    <col min="6" max="6" width="23.85546875" style="133" customWidth="1"/>
    <col min="7" max="7" width="11.7109375" style="50" customWidth="1"/>
    <col min="8" max="8" width="29.42578125" style="50" hidden="1" customWidth="1"/>
    <col min="9" max="9" width="11.7109375" style="50" customWidth="1"/>
    <col min="10" max="11" width="10.42578125" style="50" customWidth="1"/>
    <col min="12" max="12" width="8.85546875" style="50" customWidth="1"/>
    <col min="13" max="13" width="11.140625" style="103" customWidth="1"/>
    <col min="14" max="14" width="1.7109375" style="100" customWidth="1"/>
    <col min="15" max="15" width="15.28515625" style="50" customWidth="1"/>
    <col min="16" max="16" width="10.7109375" style="50" customWidth="1"/>
    <col min="17" max="17" width="11.42578125" style="50" customWidth="1"/>
    <col min="18" max="18" width="5.7109375" style="100" bestFit="1"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85546875" style="101" customWidth="1"/>
    <col min="25" max="25" width="19.140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1.75" thickBot="1" x14ac:dyDescent="0.4">
      <c r="A1" s="1524" t="s">
        <v>584</v>
      </c>
      <c r="B1" s="1525"/>
      <c r="C1" s="1525"/>
      <c r="D1" s="1525"/>
      <c r="E1" s="1525"/>
      <c r="F1" s="1525"/>
      <c r="G1" s="1525"/>
      <c r="H1" s="1525"/>
      <c r="I1" s="1525"/>
      <c r="J1" s="1525"/>
      <c r="K1" s="1525"/>
      <c r="L1" s="1525"/>
      <c r="M1" s="1525"/>
      <c r="N1" s="1526"/>
      <c r="O1" s="1526"/>
      <c r="P1" s="1526"/>
      <c r="Q1" s="1527"/>
      <c r="R1" s="137"/>
      <c r="S1" s="932"/>
      <c r="T1" s="932"/>
      <c r="U1" s="932"/>
      <c r="V1" s="932"/>
      <c r="W1" s="932"/>
      <c r="X1" s="932"/>
      <c r="Y1" s="932"/>
      <c r="Z1" s="50"/>
      <c r="AA1" s="50"/>
      <c r="AB1" s="50"/>
      <c r="AC1" s="50"/>
      <c r="AD1" s="50"/>
    </row>
    <row r="2" spans="1:30" s="54" customFormat="1" ht="19.5" thickBot="1" x14ac:dyDescent="0.25">
      <c r="A2" s="51"/>
      <c r="B2" s="51"/>
      <c r="C2" s="51"/>
      <c r="D2" s="51"/>
      <c r="E2" s="51"/>
      <c r="F2" s="51"/>
      <c r="G2" s="51"/>
      <c r="H2" s="51"/>
      <c r="I2" s="51"/>
      <c r="J2" s="51"/>
      <c r="K2" s="51"/>
      <c r="L2" s="52"/>
      <c r="M2" s="52"/>
      <c r="N2" s="52"/>
      <c r="O2" s="52"/>
      <c r="P2" s="52"/>
      <c r="Q2" s="52"/>
      <c r="R2" s="52"/>
      <c r="S2" s="52"/>
      <c r="T2" s="52"/>
      <c r="U2" s="52"/>
      <c r="V2" s="52"/>
      <c r="W2" s="52"/>
      <c r="X2" s="52"/>
      <c r="Y2" s="52"/>
    </row>
    <row r="3" spans="1:30" s="54" customFormat="1" ht="19.5" thickBot="1" x14ac:dyDescent="0.25">
      <c r="A3" s="778" t="s">
        <v>234</v>
      </c>
      <c r="B3" s="779"/>
      <c r="C3" s="779"/>
      <c r="D3" s="779"/>
      <c r="E3" s="779"/>
      <c r="F3" s="779"/>
      <c r="G3" s="779"/>
      <c r="H3" s="779"/>
      <c r="I3" s="779"/>
      <c r="J3" s="779"/>
      <c r="K3" s="779"/>
      <c r="L3" s="779"/>
      <c r="M3" s="779"/>
      <c r="N3" s="779"/>
      <c r="O3" s="1414"/>
      <c r="P3" s="1513"/>
      <c r="Q3" s="786"/>
      <c r="R3" s="237"/>
      <c r="S3" s="1528"/>
      <c r="T3" s="1528"/>
      <c r="U3" s="1528"/>
      <c r="V3" s="1528"/>
      <c r="W3" s="1528"/>
      <c r="X3" s="1528"/>
      <c r="Y3" s="1528"/>
      <c r="Z3" s="983"/>
      <c r="AA3" s="994"/>
      <c r="AB3" s="989"/>
      <c r="AC3" s="983"/>
    </row>
    <row r="4" spans="1:30" s="57" customFormat="1" ht="15.75" x14ac:dyDescent="0.2">
      <c r="A4" s="1202" t="s">
        <v>231</v>
      </c>
      <c r="B4" s="1199"/>
      <c r="C4" s="1199"/>
      <c r="D4" s="1203"/>
      <c r="E4" s="1204"/>
      <c r="F4" s="1366" t="s">
        <v>28</v>
      </c>
      <c r="G4" s="1367"/>
      <c r="H4" s="1367"/>
      <c r="I4" s="1368"/>
      <c r="J4" s="1369"/>
      <c r="K4" s="1369"/>
      <c r="L4" s="1369"/>
      <c r="M4" s="1369"/>
      <c r="N4" s="1370"/>
      <c r="O4" s="1348" t="s">
        <v>257</v>
      </c>
      <c r="P4" s="1348"/>
      <c r="Q4" s="209">
        <v>0</v>
      </c>
      <c r="R4" s="238"/>
      <c r="S4" s="1523"/>
      <c r="T4" s="1523"/>
      <c r="U4" s="1523"/>
      <c r="V4" s="1523"/>
      <c r="W4" s="1523"/>
      <c r="X4" s="1523"/>
      <c r="Y4" s="1523"/>
      <c r="Z4" s="995"/>
      <c r="AA4" s="996"/>
      <c r="AB4" s="997"/>
      <c r="AC4" s="997"/>
    </row>
    <row r="5" spans="1:30" s="57" customFormat="1" ht="15.75" x14ac:dyDescent="0.2">
      <c r="A5" s="1200" t="s">
        <v>4</v>
      </c>
      <c r="B5" s="1201"/>
      <c r="C5" s="1201"/>
      <c r="D5" s="1221"/>
      <c r="E5" s="1193"/>
      <c r="F5" s="1371" t="s">
        <v>244</v>
      </c>
      <c r="G5" s="1338"/>
      <c r="H5" s="1338"/>
      <c r="I5" s="1220"/>
      <c r="J5" s="1357"/>
      <c r="K5" s="1357"/>
      <c r="L5" s="1357"/>
      <c r="M5" s="1357"/>
      <c r="N5" s="1159"/>
      <c r="O5" s="1338" t="s">
        <v>22</v>
      </c>
      <c r="P5" s="1338"/>
      <c r="Q5" s="58"/>
      <c r="R5" s="238"/>
      <c r="S5" s="1523"/>
      <c r="T5" s="1523"/>
      <c r="U5" s="1523"/>
      <c r="V5" s="1523"/>
      <c r="W5" s="1523"/>
      <c r="X5" s="1523"/>
      <c r="Y5" s="1523"/>
      <c r="Z5" s="995"/>
      <c r="AA5" s="995"/>
      <c r="AB5" s="998"/>
      <c r="AC5" s="998"/>
    </row>
    <row r="6" spans="1:30" s="57" customFormat="1" ht="16.5" thickBot="1" x14ac:dyDescent="0.25">
      <c r="A6" s="1200" t="s">
        <v>12</v>
      </c>
      <c r="B6" s="1201"/>
      <c r="C6" s="1201"/>
      <c r="D6" s="1221"/>
      <c r="E6" s="1333"/>
      <c r="F6" s="1371" t="s">
        <v>20</v>
      </c>
      <c r="G6" s="1338"/>
      <c r="H6" s="1338"/>
      <c r="I6" s="1220"/>
      <c r="J6" s="1357"/>
      <c r="K6" s="1357"/>
      <c r="L6" s="1357"/>
      <c r="M6" s="1357"/>
      <c r="N6" s="1159"/>
      <c r="O6" s="1334" t="s">
        <v>233</v>
      </c>
      <c r="P6" s="1334"/>
      <c r="Q6" s="212">
        <f>Q4+Q5*10</f>
        <v>0</v>
      </c>
      <c r="R6" s="238"/>
      <c r="S6" s="1523"/>
      <c r="T6" s="1523"/>
      <c r="U6" s="1523"/>
      <c r="V6" s="1523"/>
      <c r="W6" s="1523"/>
      <c r="X6" s="1523"/>
      <c r="Y6" s="1523"/>
      <c r="Z6" s="995"/>
      <c r="AA6" s="995"/>
      <c r="AB6" s="998"/>
      <c r="AC6" s="998"/>
    </row>
    <row r="7" spans="1:30" s="57" customFormat="1" ht="16.5" thickBot="1" x14ac:dyDescent="0.25">
      <c r="A7" s="1200" t="s">
        <v>5</v>
      </c>
      <c r="B7" s="1201"/>
      <c r="C7" s="1201"/>
      <c r="D7" s="1158"/>
      <c r="E7" s="1193"/>
      <c r="F7" s="1375" t="s">
        <v>21</v>
      </c>
      <c r="G7" s="1376"/>
      <c r="H7" s="1376"/>
      <c r="I7" s="1377"/>
      <c r="J7" s="1374"/>
      <c r="K7" s="1374"/>
      <c r="L7" s="1374"/>
      <c r="M7" s="1374"/>
      <c r="N7" s="1195"/>
      <c r="O7" s="235"/>
      <c r="P7" s="242"/>
      <c r="Q7" s="236"/>
      <c r="R7" s="238"/>
      <c r="S7" s="1523"/>
      <c r="T7" s="1523"/>
      <c r="U7" s="1523"/>
      <c r="V7" s="1523"/>
      <c r="W7" s="1523"/>
      <c r="X7" s="1523"/>
      <c r="Y7" s="1523"/>
      <c r="Z7" s="995"/>
      <c r="AA7" s="995"/>
      <c r="AB7" s="998"/>
      <c r="AC7" s="998"/>
    </row>
    <row r="8" spans="1:30" s="57" customFormat="1" ht="15.75" customHeight="1" x14ac:dyDescent="0.2">
      <c r="A8" s="1326" t="s">
        <v>54</v>
      </c>
      <c r="B8" s="1327"/>
      <c r="C8" s="1327"/>
      <c r="D8" s="1530">
        <v>1</v>
      </c>
      <c r="E8" s="1531"/>
      <c r="F8" s="1378" t="s">
        <v>253</v>
      </c>
      <c r="G8" s="1373"/>
      <c r="H8" s="1373"/>
      <c r="I8" s="1198"/>
      <c r="J8" s="1369"/>
      <c r="K8" s="1369"/>
      <c r="L8" s="1369"/>
      <c r="M8" s="1369"/>
      <c r="N8" s="1370"/>
      <c r="O8" s="1373" t="s">
        <v>257</v>
      </c>
      <c r="P8" s="1373"/>
      <c r="Q8" s="55">
        <v>0</v>
      </c>
      <c r="R8" s="239"/>
      <c r="S8" s="1529"/>
      <c r="T8" s="1529"/>
      <c r="U8" s="1529"/>
      <c r="V8" s="1529"/>
      <c r="W8" s="1529"/>
      <c r="X8" s="1529"/>
      <c r="Y8" s="1529"/>
      <c r="Z8" s="995"/>
      <c r="AA8" s="995"/>
      <c r="AB8" s="998"/>
      <c r="AC8" s="998"/>
    </row>
    <row r="9" spans="1:30" s="57" customFormat="1" ht="15.75" x14ac:dyDescent="0.2">
      <c r="A9" s="1318" t="s">
        <v>53</v>
      </c>
      <c r="B9" s="1319"/>
      <c r="C9" s="1319"/>
      <c r="D9" s="1189">
        <f>100%-D8</f>
        <v>0</v>
      </c>
      <c r="E9" s="1190"/>
      <c r="F9" s="1371" t="s">
        <v>244</v>
      </c>
      <c r="G9" s="1338"/>
      <c r="H9" s="1338"/>
      <c r="I9" s="1220"/>
      <c r="J9" s="1357"/>
      <c r="K9" s="1357"/>
      <c r="L9" s="1357"/>
      <c r="M9" s="1357"/>
      <c r="N9" s="1159"/>
      <c r="O9" s="1338" t="s">
        <v>22</v>
      </c>
      <c r="P9" s="1338"/>
      <c r="Q9" s="58"/>
      <c r="R9" s="239"/>
      <c r="S9" s="1529"/>
      <c r="T9" s="1529"/>
      <c r="U9" s="1529"/>
      <c r="V9" s="1529"/>
      <c r="W9" s="1529"/>
      <c r="X9" s="1529"/>
      <c r="Y9" s="1529"/>
      <c r="Z9" s="995"/>
      <c r="AA9" s="993"/>
      <c r="AB9" s="998"/>
      <c r="AC9" s="998"/>
    </row>
    <row r="10" spans="1:30" s="57" customFormat="1" ht="35.25" customHeight="1" thickBot="1" x14ac:dyDescent="0.25">
      <c r="A10" s="1152" t="s">
        <v>276</v>
      </c>
      <c r="B10" s="1153"/>
      <c r="C10" s="1153"/>
      <c r="D10" s="1533">
        <f>Q6+Q10</f>
        <v>0</v>
      </c>
      <c r="E10" s="1534"/>
      <c r="F10" s="1371" t="s">
        <v>20</v>
      </c>
      <c r="G10" s="1338"/>
      <c r="H10" s="1338"/>
      <c r="I10" s="1220"/>
      <c r="J10" s="1357"/>
      <c r="K10" s="1357"/>
      <c r="L10" s="1357"/>
      <c r="M10" s="1357"/>
      <c r="N10" s="1159"/>
      <c r="O10" s="1334" t="s">
        <v>233</v>
      </c>
      <c r="P10" s="1334"/>
      <c r="Q10" s="212">
        <f>Q8+Q9*10</f>
        <v>0</v>
      </c>
      <c r="R10" s="240"/>
      <c r="S10" s="1532"/>
      <c r="T10" s="1532"/>
      <c r="U10" s="1532"/>
      <c r="V10" s="1532"/>
      <c r="W10" s="1532"/>
      <c r="X10" s="1532"/>
      <c r="Y10" s="1532"/>
      <c r="Z10" s="995"/>
      <c r="AA10" s="999"/>
      <c r="AB10" s="1000"/>
      <c r="AC10" s="1000"/>
    </row>
    <row r="11" spans="1:30" s="57" customFormat="1" ht="19.5" thickBot="1" x14ac:dyDescent="0.25">
      <c r="A11" s="1150" t="s">
        <v>277</v>
      </c>
      <c r="B11" s="1151"/>
      <c r="C11" s="1151"/>
      <c r="D11" s="1146">
        <f>ROUNDUP(D10/10,0)</f>
        <v>0</v>
      </c>
      <c r="E11" s="1147"/>
      <c r="F11" s="1362" t="s">
        <v>21</v>
      </c>
      <c r="G11" s="1363"/>
      <c r="H11" s="1363"/>
      <c r="I11" s="1173"/>
      <c r="J11" s="1156"/>
      <c r="K11" s="1157"/>
      <c r="L11" s="1157"/>
      <c r="M11" s="1157"/>
      <c r="N11" s="1380"/>
      <c r="O11" s="1416" t="s">
        <v>568</v>
      </c>
      <c r="P11" s="1417"/>
      <c r="Q11" s="841">
        <f>'Local Penalties'!B8</f>
        <v>7</v>
      </c>
      <c r="R11" s="240"/>
      <c r="S11" s="1532"/>
      <c r="T11" s="1532"/>
      <c r="U11" s="1532"/>
      <c r="V11" s="1532"/>
      <c r="W11" s="1532"/>
      <c r="X11" s="1532"/>
      <c r="Y11" s="1532"/>
      <c r="Z11" s="995"/>
      <c r="AA11" s="995"/>
      <c r="AB11" s="1001"/>
      <c r="AC11" s="1001"/>
    </row>
    <row r="12" spans="1:30" s="57" customFormat="1" ht="19.5"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9.5" thickBot="1" x14ac:dyDescent="0.25">
      <c r="A13" s="192"/>
      <c r="B13" s="192"/>
      <c r="C13" s="192"/>
      <c r="D13" s="192"/>
      <c r="E13" s="192"/>
      <c r="F13" s="107"/>
      <c r="G13" s="108"/>
      <c r="I13" s="278"/>
      <c r="J13" s="279"/>
      <c r="K13" s="1299" t="s">
        <v>297</v>
      </c>
      <c r="L13" s="1300"/>
      <c r="M13" s="1300"/>
      <c r="N13" s="110"/>
      <c r="O13" s="1305" t="s">
        <v>578</v>
      </c>
      <c r="P13" s="1306"/>
      <c r="Q13" s="1307"/>
      <c r="R13" s="226"/>
      <c r="S13" s="158"/>
      <c r="T13" s="158"/>
      <c r="U13" s="159"/>
      <c r="V13" s="108"/>
      <c r="W13" s="108"/>
      <c r="X13" s="108"/>
      <c r="Y13" s="108"/>
      <c r="Z13" s="108"/>
    </row>
    <row r="14" spans="1:30" ht="42" customHeight="1" thickBot="1" x14ac:dyDescent="0.25">
      <c r="A14" s="968">
        <v>0.02</v>
      </c>
      <c r="B14" s="968" t="s">
        <v>58</v>
      </c>
      <c r="C14" s="1160" t="s">
        <v>226</v>
      </c>
      <c r="D14" s="1161"/>
      <c r="E14" s="1161"/>
      <c r="F14" s="1162"/>
      <c r="G14" s="1028" t="s">
        <v>249</v>
      </c>
      <c r="H14" s="1029" t="s">
        <v>0</v>
      </c>
      <c r="I14" s="1535" t="s">
        <v>298</v>
      </c>
      <c r="J14" s="1537" t="s">
        <v>275</v>
      </c>
      <c r="K14" s="1535" t="s">
        <v>315</v>
      </c>
      <c r="L14" s="1539" t="s">
        <v>6</v>
      </c>
      <c r="M14" s="1030" t="s">
        <v>299</v>
      </c>
      <c r="N14" s="1031"/>
      <c r="O14" s="1032" t="s">
        <v>428</v>
      </c>
      <c r="P14" s="1539" t="s">
        <v>6</v>
      </c>
      <c r="Q14" s="1030" t="s">
        <v>299</v>
      </c>
      <c r="R14" s="228"/>
      <c r="S14" s="54"/>
      <c r="T14" s="54"/>
      <c r="U14" s="54"/>
      <c r="V14" s="54"/>
      <c r="W14" s="54"/>
      <c r="X14" s="50"/>
      <c r="Y14" s="50"/>
      <c r="Z14" s="50"/>
      <c r="AA14" s="50"/>
      <c r="AB14" s="50"/>
      <c r="AC14" s="50"/>
      <c r="AD14" s="50"/>
    </row>
    <row r="15" spans="1:30" ht="23.25" customHeight="1" thickBot="1" x14ac:dyDescent="0.25">
      <c r="A15" s="969"/>
      <c r="B15" s="969"/>
      <c r="C15" s="1163"/>
      <c r="D15" s="1164"/>
      <c r="E15" s="1164"/>
      <c r="F15" s="1165"/>
      <c r="G15" s="1033"/>
      <c r="H15" s="1033"/>
      <c r="I15" s="1536"/>
      <c r="J15" s="1538"/>
      <c r="K15" s="1536"/>
      <c r="L15" s="1540"/>
      <c r="M15" s="244"/>
      <c r="N15" s="1034"/>
      <c r="O15" s="419">
        <f>(O35-O31)/(K35-K31)</f>
        <v>0</v>
      </c>
      <c r="P15" s="1540"/>
      <c r="Q15" s="244"/>
      <c r="R15" s="228"/>
      <c r="S15" s="54"/>
      <c r="T15" s="54"/>
      <c r="U15" s="54"/>
      <c r="V15" s="54"/>
      <c r="W15" s="54"/>
      <c r="X15" s="50"/>
      <c r="Y15" s="50"/>
      <c r="Z15" s="50"/>
      <c r="AA15" s="50"/>
      <c r="AB15" s="50"/>
      <c r="AC15" s="50"/>
      <c r="AD15" s="50"/>
    </row>
    <row r="16" spans="1:30" s="74" customFormat="1" ht="16.5" hidden="1" customHeight="1" thickTop="1" thickBot="1" x14ac:dyDescent="0.25">
      <c r="A16" s="973" t="s">
        <v>8</v>
      </c>
      <c r="B16" s="195"/>
      <c r="C16" s="1226"/>
      <c r="D16" s="1226"/>
      <c r="E16" s="1226"/>
      <c r="F16" s="1226"/>
      <c r="G16" s="70"/>
      <c r="H16" s="71"/>
      <c r="I16" s="154"/>
      <c r="J16" s="974"/>
      <c r="K16" s="162"/>
      <c r="L16" s="162"/>
      <c r="M16" s="198"/>
      <c r="N16" s="164"/>
      <c r="O16" s="160"/>
      <c r="P16" s="162"/>
      <c r="Q16" s="166"/>
      <c r="R16" s="229"/>
      <c r="S16" s="125"/>
      <c r="T16" s="125"/>
      <c r="U16" s="125"/>
      <c r="V16" s="125"/>
      <c r="W16" s="125"/>
    </row>
    <row r="17" spans="1:23" s="74" customFormat="1" ht="15.75" hidden="1" customHeight="1" thickBot="1" x14ac:dyDescent="0.25">
      <c r="A17" s="973" t="s">
        <v>8</v>
      </c>
      <c r="B17" s="262"/>
      <c r="C17" s="1183"/>
      <c r="D17" s="1240"/>
      <c r="E17" s="1240"/>
      <c r="F17" s="1241"/>
      <c r="G17" s="76"/>
      <c r="H17" s="77"/>
      <c r="I17" s="156"/>
      <c r="J17" s="974"/>
      <c r="K17" s="162"/>
      <c r="L17" s="162"/>
      <c r="M17" s="167"/>
      <c r="N17" s="164"/>
      <c r="O17" s="160"/>
      <c r="P17" s="162"/>
      <c r="Q17" s="167"/>
      <c r="R17" s="229"/>
      <c r="S17" s="125"/>
      <c r="T17" s="125"/>
      <c r="U17" s="125"/>
      <c r="V17" s="125"/>
      <c r="W17" s="125"/>
    </row>
    <row r="18" spans="1:23" s="74" customFormat="1" ht="15" customHeight="1" x14ac:dyDescent="0.2">
      <c r="A18" s="973" t="s">
        <v>8</v>
      </c>
      <c r="B18" s="262"/>
      <c r="C18" s="1541" t="s">
        <v>274</v>
      </c>
      <c r="D18" s="1541"/>
      <c r="E18" s="1541"/>
      <c r="F18" s="1541"/>
      <c r="G18" s="1046" t="str">
        <f>IF(D9=0,"COUNTY","CITY")</f>
        <v>COUNTY</v>
      </c>
      <c r="H18" s="77" t="s">
        <v>51</v>
      </c>
      <c r="I18" s="156"/>
      <c r="J18" s="974"/>
      <c r="K18" s="162">
        <f>J41</f>
        <v>1.2</v>
      </c>
      <c r="L18" s="162">
        <f>IF(A18="Y", K18*2%,0)</f>
        <v>2.4E-2</v>
      </c>
      <c r="M18" s="167">
        <f>K18-L18</f>
        <v>1.1759999999999999</v>
      </c>
      <c r="N18" s="164"/>
      <c r="O18" s="160">
        <f t="shared" ref="O18:O30" si="0">IF($O$42=0,,K18*$O$15)</f>
        <v>0</v>
      </c>
      <c r="P18" s="162">
        <f t="shared" ref="P18:P34" si="1">IF(A18="Y", O18*2%,)</f>
        <v>0</v>
      </c>
      <c r="Q18" s="167">
        <f t="shared" ref="Q18:Q39" si="2">O18-P18</f>
        <v>0</v>
      </c>
      <c r="R18" s="229"/>
      <c r="S18" s="125"/>
      <c r="T18" s="125"/>
      <c r="U18" s="125"/>
      <c r="V18" s="125"/>
      <c r="W18" s="125"/>
    </row>
    <row r="19" spans="1:23" s="74" customFormat="1" ht="15" customHeight="1" x14ac:dyDescent="0.2">
      <c r="A19" s="973" t="s">
        <v>8</v>
      </c>
      <c r="B19" s="1355" t="s">
        <v>241</v>
      </c>
      <c r="C19" s="1172" t="s">
        <v>212</v>
      </c>
      <c r="D19" s="1172"/>
      <c r="E19" s="1172"/>
      <c r="F19" s="1172"/>
      <c r="G19" s="967" t="s">
        <v>32</v>
      </c>
      <c r="H19" s="77" t="s">
        <v>27</v>
      </c>
      <c r="I19" s="155">
        <f>(D10-SUM(I16:I18))*D8</f>
        <v>0</v>
      </c>
      <c r="J19" s="974">
        <f>I19*30%</f>
        <v>0</v>
      </c>
      <c r="K19" s="162">
        <f t="shared" ref="K19:K34" si="3">I19-J19</f>
        <v>0</v>
      </c>
      <c r="L19" s="162">
        <f>IF(A19="Y", K19*2%,0)</f>
        <v>0</v>
      </c>
      <c r="M19" s="167">
        <f t="shared" ref="M19:M33" si="4">K19-L19</f>
        <v>0</v>
      </c>
      <c r="N19" s="164"/>
      <c r="O19" s="160">
        <f t="shared" si="0"/>
        <v>0</v>
      </c>
      <c r="P19" s="162">
        <f t="shared" si="1"/>
        <v>0</v>
      </c>
      <c r="Q19" s="167">
        <f t="shared" si="2"/>
        <v>0</v>
      </c>
      <c r="R19" s="229"/>
      <c r="S19" s="1514"/>
      <c r="T19" s="125"/>
      <c r="U19" s="125"/>
      <c r="V19" s="125"/>
      <c r="W19" s="125"/>
    </row>
    <row r="20" spans="1:23" s="74" customFormat="1" ht="15" customHeight="1" x14ac:dyDescent="0.2">
      <c r="A20" s="973" t="s">
        <v>8</v>
      </c>
      <c r="B20" s="1356"/>
      <c r="C20" s="1172" t="s">
        <v>213</v>
      </c>
      <c r="D20" s="1172"/>
      <c r="E20" s="1172"/>
      <c r="F20" s="1172"/>
      <c r="G20" s="967" t="s">
        <v>52</v>
      </c>
      <c r="H20" s="77" t="s">
        <v>25</v>
      </c>
      <c r="I20" s="155">
        <f>(D10-SUM(I16:I18))*D9</f>
        <v>0</v>
      </c>
      <c r="J20" s="974">
        <f>I20*30%</f>
        <v>0</v>
      </c>
      <c r="K20" s="162">
        <f t="shared" si="3"/>
        <v>0</v>
      </c>
      <c r="L20" s="162">
        <f t="shared" ref="L20:L34" si="5">IF(A20="Y", K20*2%,0)</f>
        <v>0</v>
      </c>
      <c r="M20" s="167">
        <f t="shared" si="4"/>
        <v>0</v>
      </c>
      <c r="N20" s="164"/>
      <c r="O20" s="160">
        <f t="shared" si="0"/>
        <v>0</v>
      </c>
      <c r="P20" s="162">
        <f t="shared" si="1"/>
        <v>0</v>
      </c>
      <c r="Q20" s="167">
        <f t="shared" si="2"/>
        <v>0</v>
      </c>
      <c r="R20" s="229"/>
      <c r="S20" s="1514"/>
      <c r="T20" s="125"/>
      <c r="U20" s="125"/>
      <c r="V20" s="125"/>
      <c r="W20" s="125"/>
    </row>
    <row r="21" spans="1:23" s="74" customFormat="1" ht="15" customHeight="1" x14ac:dyDescent="0.2">
      <c r="A21" s="973" t="s">
        <v>8</v>
      </c>
      <c r="B21" s="75">
        <v>7</v>
      </c>
      <c r="C21" s="1172" t="s">
        <v>546</v>
      </c>
      <c r="D21" s="1172"/>
      <c r="E21" s="1172"/>
      <c r="F21" s="1172"/>
      <c r="G21" s="967" t="s">
        <v>31</v>
      </c>
      <c r="H21" s="77" t="s">
        <v>26</v>
      </c>
      <c r="I21" s="155">
        <f>$D$11*B21</f>
        <v>0</v>
      </c>
      <c r="J21" s="974">
        <f>I21*30%</f>
        <v>0</v>
      </c>
      <c r="K21" s="162">
        <f t="shared" si="3"/>
        <v>0</v>
      </c>
      <c r="L21" s="162">
        <f t="shared" si="5"/>
        <v>0</v>
      </c>
      <c r="M21" s="167">
        <f t="shared" si="4"/>
        <v>0</v>
      </c>
      <c r="N21" s="164"/>
      <c r="O21" s="160">
        <f t="shared" si="0"/>
        <v>0</v>
      </c>
      <c r="P21" s="162">
        <f t="shared" si="1"/>
        <v>0</v>
      </c>
      <c r="Q21" s="167">
        <f t="shared" si="2"/>
        <v>0</v>
      </c>
      <c r="R21" s="229"/>
      <c r="S21" s="125"/>
      <c r="T21" s="125"/>
      <c r="U21" s="125"/>
      <c r="V21" s="125"/>
      <c r="W21" s="125"/>
    </row>
    <row r="22" spans="1:23" s="74" customFormat="1" ht="15" customHeight="1" x14ac:dyDescent="0.2">
      <c r="A22" s="973" t="s">
        <v>8</v>
      </c>
      <c r="B22" s="75">
        <v>3</v>
      </c>
      <c r="C22" s="1172" t="s">
        <v>547</v>
      </c>
      <c r="D22" s="1172"/>
      <c r="E22" s="1172"/>
      <c r="F22" s="1172"/>
      <c r="G22" s="967" t="s">
        <v>32</v>
      </c>
      <c r="H22" s="77" t="s">
        <v>27</v>
      </c>
      <c r="I22" s="155">
        <f t="shared" ref="I22:I33" si="6">$D$11*B22</f>
        <v>0</v>
      </c>
      <c r="J22" s="974">
        <f>I22*30%</f>
        <v>0</v>
      </c>
      <c r="K22" s="162">
        <f t="shared" si="3"/>
        <v>0</v>
      </c>
      <c r="L22" s="162">
        <f t="shared" si="5"/>
        <v>0</v>
      </c>
      <c r="M22" s="167">
        <f t="shared" si="4"/>
        <v>0</v>
      </c>
      <c r="N22" s="164"/>
      <c r="O22" s="160">
        <f t="shared" si="0"/>
        <v>0</v>
      </c>
      <c r="P22" s="162">
        <f t="shared" si="1"/>
        <v>0</v>
      </c>
      <c r="Q22" s="167">
        <f t="shared" si="2"/>
        <v>0</v>
      </c>
      <c r="R22" s="229"/>
      <c r="S22" s="125"/>
      <c r="T22" s="125"/>
      <c r="U22" s="125"/>
      <c r="V22" s="125"/>
      <c r="W22" s="125"/>
    </row>
    <row r="23" spans="1:23" s="74" customFormat="1" ht="15" customHeight="1" x14ac:dyDescent="0.2">
      <c r="A23" s="973" t="s">
        <v>8</v>
      </c>
      <c r="B23" s="75">
        <v>1</v>
      </c>
      <c r="C23" s="1183" t="s">
        <v>216</v>
      </c>
      <c r="D23" s="1240"/>
      <c r="E23" s="1240"/>
      <c r="F23" s="1241"/>
      <c r="G23" s="967" t="s">
        <v>32</v>
      </c>
      <c r="H23" s="77" t="s">
        <v>55</v>
      </c>
      <c r="I23" s="155">
        <f t="shared" si="6"/>
        <v>0</v>
      </c>
      <c r="J23" s="974"/>
      <c r="K23" s="162">
        <f t="shared" si="3"/>
        <v>0</v>
      </c>
      <c r="L23" s="162">
        <f t="shared" si="5"/>
        <v>0</v>
      </c>
      <c r="M23" s="167">
        <f t="shared" si="4"/>
        <v>0</v>
      </c>
      <c r="N23" s="164"/>
      <c r="O23" s="160">
        <f t="shared" si="0"/>
        <v>0</v>
      </c>
      <c r="P23" s="162">
        <f t="shared" si="1"/>
        <v>0</v>
      </c>
      <c r="Q23" s="167">
        <f t="shared" si="2"/>
        <v>0</v>
      </c>
      <c r="R23" s="229"/>
      <c r="S23" s="125"/>
      <c r="T23" s="125"/>
      <c r="U23" s="125"/>
      <c r="V23" s="125"/>
      <c r="W23" s="125"/>
    </row>
    <row r="24" spans="1:23" s="74" customFormat="1" ht="15" customHeight="1" x14ac:dyDescent="0.2">
      <c r="A24" s="973" t="s">
        <v>8</v>
      </c>
      <c r="B24" s="75">
        <v>4</v>
      </c>
      <c r="C24" s="1183" t="s">
        <v>466</v>
      </c>
      <c r="D24" s="1240"/>
      <c r="E24" s="1240"/>
      <c r="F24" s="1241"/>
      <c r="G24" s="967" t="s">
        <v>31</v>
      </c>
      <c r="H24" s="77" t="s">
        <v>72</v>
      </c>
      <c r="I24" s="155">
        <f t="shared" si="6"/>
        <v>0</v>
      </c>
      <c r="J24" s="974"/>
      <c r="K24" s="162">
        <f t="shared" si="3"/>
        <v>0</v>
      </c>
      <c r="L24" s="162">
        <f t="shared" si="5"/>
        <v>0</v>
      </c>
      <c r="M24" s="167">
        <f t="shared" si="4"/>
        <v>0</v>
      </c>
      <c r="N24" s="164"/>
      <c r="O24" s="160">
        <f t="shared" si="0"/>
        <v>0</v>
      </c>
      <c r="P24" s="162">
        <f t="shared" si="1"/>
        <v>0</v>
      </c>
      <c r="Q24" s="167">
        <f t="shared" si="2"/>
        <v>0</v>
      </c>
      <c r="R24" s="229"/>
      <c r="S24" s="125"/>
      <c r="T24" s="125"/>
      <c r="U24" s="125"/>
      <c r="V24" s="125"/>
      <c r="W24" s="125"/>
    </row>
    <row r="25" spans="1:23" s="74" customFormat="1" ht="15" customHeight="1" x14ac:dyDescent="0.2">
      <c r="A25" s="973" t="s">
        <v>8</v>
      </c>
      <c r="B25" s="782">
        <v>0</v>
      </c>
      <c r="C25" s="1172" t="s">
        <v>217</v>
      </c>
      <c r="D25" s="1172"/>
      <c r="E25" s="1279" t="str">
        <f>IF(SUM(B25:B29)=Q11,"GC 76000 PA ($" &amp;Q11 &amp; " for every 10) breakdown per local board of supervisor resolution (BOS).","ERROR! GC 76000 PA total is not $" &amp;Q11&amp; ". Check Court's board resolution.")</f>
        <v>ERROR! GC 76000 PA total is not $7. Check Court's board resolution.</v>
      </c>
      <c r="F25" s="1280"/>
      <c r="G25" s="967" t="s">
        <v>32</v>
      </c>
      <c r="H25" s="77" t="s">
        <v>64</v>
      </c>
      <c r="I25" s="155">
        <f t="shared" si="6"/>
        <v>0</v>
      </c>
      <c r="J25" s="974">
        <f>I25*30%</f>
        <v>0</v>
      </c>
      <c r="K25" s="162">
        <f t="shared" si="3"/>
        <v>0</v>
      </c>
      <c r="L25" s="162">
        <f t="shared" si="5"/>
        <v>0</v>
      </c>
      <c r="M25" s="167">
        <f t="shared" si="4"/>
        <v>0</v>
      </c>
      <c r="N25" s="164"/>
      <c r="O25" s="160">
        <f t="shared" si="0"/>
        <v>0</v>
      </c>
      <c r="P25" s="162">
        <f t="shared" si="1"/>
        <v>0</v>
      </c>
      <c r="Q25" s="167">
        <f t="shared" si="2"/>
        <v>0</v>
      </c>
      <c r="R25" s="229"/>
      <c r="S25" s="125"/>
      <c r="T25" s="125"/>
      <c r="U25" s="125"/>
      <c r="V25" s="125"/>
      <c r="W25" s="125"/>
    </row>
    <row r="26" spans="1:23" s="74" customFormat="1" ht="15" customHeight="1" x14ac:dyDescent="0.2">
      <c r="A26" s="973" t="s">
        <v>8</v>
      </c>
      <c r="B26" s="782">
        <v>0</v>
      </c>
      <c r="C26" s="1172" t="s">
        <v>218</v>
      </c>
      <c r="D26" s="1172"/>
      <c r="E26" s="1281"/>
      <c r="F26" s="1282"/>
      <c r="G26" s="967" t="s">
        <v>32</v>
      </c>
      <c r="H26" s="77" t="s">
        <v>35</v>
      </c>
      <c r="I26" s="155">
        <f t="shared" si="6"/>
        <v>0</v>
      </c>
      <c r="J26" s="974">
        <f>I26*30%</f>
        <v>0</v>
      </c>
      <c r="K26" s="162">
        <f t="shared" si="3"/>
        <v>0</v>
      </c>
      <c r="L26" s="162">
        <f t="shared" si="5"/>
        <v>0</v>
      </c>
      <c r="M26" s="167">
        <f t="shared" si="4"/>
        <v>0</v>
      </c>
      <c r="N26" s="164"/>
      <c r="O26" s="160">
        <f t="shared" si="0"/>
        <v>0</v>
      </c>
      <c r="P26" s="162">
        <f t="shared" si="1"/>
        <v>0</v>
      </c>
      <c r="Q26" s="167">
        <f t="shared" si="2"/>
        <v>0</v>
      </c>
      <c r="R26" s="229"/>
      <c r="S26" s="125"/>
      <c r="T26" s="125"/>
      <c r="U26" s="125"/>
      <c r="V26" s="125"/>
      <c r="W26" s="125"/>
    </row>
    <row r="27" spans="1:23" s="74" customFormat="1" ht="15" customHeight="1" x14ac:dyDescent="0.2">
      <c r="A27" s="973" t="s">
        <v>8</v>
      </c>
      <c r="B27" s="782">
        <v>0</v>
      </c>
      <c r="C27" s="1172" t="s">
        <v>219</v>
      </c>
      <c r="D27" s="1172"/>
      <c r="E27" s="1281"/>
      <c r="F27" s="1282"/>
      <c r="G27" s="967" t="s">
        <v>32</v>
      </c>
      <c r="H27" s="77" t="s">
        <v>65</v>
      </c>
      <c r="I27" s="155">
        <f t="shared" si="6"/>
        <v>0</v>
      </c>
      <c r="J27" s="974">
        <f>I27*30%</f>
        <v>0</v>
      </c>
      <c r="K27" s="162">
        <f t="shared" si="3"/>
        <v>0</v>
      </c>
      <c r="L27" s="162">
        <f t="shared" si="5"/>
        <v>0</v>
      </c>
      <c r="M27" s="167">
        <f t="shared" si="4"/>
        <v>0</v>
      </c>
      <c r="N27" s="164"/>
      <c r="O27" s="160">
        <f t="shared" si="0"/>
        <v>0</v>
      </c>
      <c r="P27" s="162">
        <f t="shared" si="1"/>
        <v>0</v>
      </c>
      <c r="Q27" s="167">
        <f t="shared" si="2"/>
        <v>0</v>
      </c>
      <c r="R27" s="229"/>
      <c r="S27" s="125"/>
      <c r="T27" s="125"/>
      <c r="U27" s="125"/>
      <c r="V27" s="125"/>
      <c r="W27" s="125"/>
    </row>
    <row r="28" spans="1:23" s="74" customFormat="1" ht="15" customHeight="1" x14ac:dyDescent="0.2">
      <c r="A28" s="973" t="s">
        <v>8</v>
      </c>
      <c r="B28" s="782">
        <v>0</v>
      </c>
      <c r="C28" s="1172" t="s">
        <v>401</v>
      </c>
      <c r="D28" s="1172"/>
      <c r="E28" s="1281"/>
      <c r="F28" s="1282"/>
      <c r="G28" s="967" t="s">
        <v>32</v>
      </c>
      <c r="H28" s="77" t="s">
        <v>65</v>
      </c>
      <c r="I28" s="155">
        <f>$D$11*B28</f>
        <v>0</v>
      </c>
      <c r="J28" s="974">
        <f>I28*30%</f>
        <v>0</v>
      </c>
      <c r="K28" s="162">
        <f>I28-J28</f>
        <v>0</v>
      </c>
      <c r="L28" s="162">
        <f>IF(A28="Y", K28*2%,0)</f>
        <v>0</v>
      </c>
      <c r="M28" s="167">
        <f>K28-L28</f>
        <v>0</v>
      </c>
      <c r="N28" s="164"/>
      <c r="O28" s="160">
        <f t="shared" si="0"/>
        <v>0</v>
      </c>
      <c r="P28" s="162">
        <f t="shared" si="1"/>
        <v>0</v>
      </c>
      <c r="Q28" s="167">
        <f>O28-P28</f>
        <v>0</v>
      </c>
      <c r="R28" s="229"/>
      <c r="S28" s="125"/>
      <c r="T28" s="125"/>
      <c r="U28" s="125"/>
      <c r="V28" s="125"/>
      <c r="W28" s="125"/>
    </row>
    <row r="29" spans="1:23" s="74" customFormat="1" ht="15" customHeight="1" x14ac:dyDescent="0.2">
      <c r="A29" s="973" t="s">
        <v>8</v>
      </c>
      <c r="B29" s="782">
        <v>0</v>
      </c>
      <c r="C29" s="1172" t="s">
        <v>254</v>
      </c>
      <c r="D29" s="1172"/>
      <c r="E29" s="1283"/>
      <c r="F29" s="1284"/>
      <c r="G29" s="967" t="s">
        <v>32</v>
      </c>
      <c r="H29" s="77"/>
      <c r="I29" s="155">
        <f t="shared" si="6"/>
        <v>0</v>
      </c>
      <c r="J29" s="974">
        <f>I29*30%</f>
        <v>0</v>
      </c>
      <c r="K29" s="162">
        <f t="shared" si="3"/>
        <v>0</v>
      </c>
      <c r="L29" s="162">
        <f t="shared" si="5"/>
        <v>0</v>
      </c>
      <c r="M29" s="167">
        <f t="shared" si="4"/>
        <v>0</v>
      </c>
      <c r="N29" s="164"/>
      <c r="O29" s="160">
        <f t="shared" si="0"/>
        <v>0</v>
      </c>
      <c r="P29" s="162">
        <f t="shared" si="1"/>
        <v>0</v>
      </c>
      <c r="Q29" s="167">
        <f t="shared" si="2"/>
        <v>0</v>
      </c>
      <c r="R29" s="229"/>
      <c r="S29" s="125"/>
      <c r="T29" s="125"/>
      <c r="U29" s="125"/>
      <c r="V29" s="125"/>
      <c r="W29" s="125"/>
    </row>
    <row r="30" spans="1:23" s="85" customFormat="1" ht="15" customHeight="1" x14ac:dyDescent="0.2">
      <c r="A30" s="973" t="s">
        <v>8</v>
      </c>
      <c r="B30" s="782">
        <f>'[4]1-DUI (Reduce Base)'!$B$30</f>
        <v>2</v>
      </c>
      <c r="C30" s="1154" t="s">
        <v>286</v>
      </c>
      <c r="D30" s="1155"/>
      <c r="E30" s="1155"/>
      <c r="F30" s="1232"/>
      <c r="G30" s="970" t="s">
        <v>32</v>
      </c>
      <c r="H30" s="84" t="s">
        <v>36</v>
      </c>
      <c r="I30" s="155">
        <f t="shared" si="6"/>
        <v>0</v>
      </c>
      <c r="J30" s="974"/>
      <c r="K30" s="162">
        <f t="shared" si="3"/>
        <v>0</v>
      </c>
      <c r="L30" s="162">
        <f t="shared" si="5"/>
        <v>0</v>
      </c>
      <c r="M30" s="167">
        <f t="shared" si="4"/>
        <v>0</v>
      </c>
      <c r="N30" s="164"/>
      <c r="O30" s="160">
        <f t="shared" si="0"/>
        <v>0</v>
      </c>
      <c r="P30" s="162">
        <f t="shared" si="1"/>
        <v>0</v>
      </c>
      <c r="Q30" s="167">
        <f t="shared" si="2"/>
        <v>0</v>
      </c>
      <c r="R30" s="229"/>
      <c r="S30" s="127"/>
      <c r="T30" s="127"/>
      <c r="U30" s="127"/>
      <c r="V30" s="127"/>
      <c r="W30" s="127"/>
    </row>
    <row r="31" spans="1:23" s="85" customFormat="1" ht="15" customHeight="1" x14ac:dyDescent="0.2">
      <c r="A31" s="973" t="s">
        <v>8</v>
      </c>
      <c r="B31" s="75"/>
      <c r="C31" s="1154" t="s">
        <v>385</v>
      </c>
      <c r="D31" s="1155"/>
      <c r="E31" s="1155"/>
      <c r="F31" s="1232"/>
      <c r="G31" s="970" t="s">
        <v>31</v>
      </c>
      <c r="H31" s="91" t="s">
        <v>39</v>
      </c>
      <c r="I31" s="204">
        <v>4</v>
      </c>
      <c r="J31" s="974">
        <f>I31*30%</f>
        <v>1.2</v>
      </c>
      <c r="K31" s="162">
        <f>I31-J31</f>
        <v>2.8</v>
      </c>
      <c r="L31" s="162">
        <f>IF(A31="Y", K31*2%,0)</f>
        <v>5.5999999999999994E-2</v>
      </c>
      <c r="M31" s="167">
        <f>K31-L31</f>
        <v>2.7439999999999998</v>
      </c>
      <c r="N31" s="164"/>
      <c r="O31" s="160">
        <f>IF($O$42=0,,I31*70%)</f>
        <v>0</v>
      </c>
      <c r="P31" s="162">
        <f t="shared" si="1"/>
        <v>0</v>
      </c>
      <c r="Q31" s="167">
        <f>O31-P31</f>
        <v>0</v>
      </c>
      <c r="R31" s="229"/>
      <c r="S31" s="127"/>
      <c r="T31" s="127"/>
      <c r="U31" s="127"/>
      <c r="V31" s="127"/>
      <c r="W31" s="127"/>
    </row>
    <row r="32" spans="1:23" s="74" customFormat="1" ht="15" customHeight="1" x14ac:dyDescent="0.2">
      <c r="A32" s="973" t="s">
        <v>8</v>
      </c>
      <c r="B32" s="782">
        <f>'[4]1-DUI (Reduce Base)'!$B$32</f>
        <v>2</v>
      </c>
      <c r="C32" s="1154" t="s">
        <v>555</v>
      </c>
      <c r="D32" s="1155"/>
      <c r="E32" s="1232"/>
      <c r="F32" s="1088" t="s">
        <v>281</v>
      </c>
      <c r="G32" s="970" t="s">
        <v>31</v>
      </c>
      <c r="H32" s="84" t="s">
        <v>37</v>
      </c>
      <c r="I32" s="155">
        <f t="shared" si="6"/>
        <v>0</v>
      </c>
      <c r="J32" s="974">
        <f>I32*30%</f>
        <v>0</v>
      </c>
      <c r="K32" s="162">
        <f t="shared" si="3"/>
        <v>0</v>
      </c>
      <c r="L32" s="162">
        <f t="shared" si="5"/>
        <v>0</v>
      </c>
      <c r="M32" s="167">
        <f t="shared" si="4"/>
        <v>0</v>
      </c>
      <c r="N32" s="164"/>
      <c r="O32" s="160">
        <f>IF($O$42=0,,K32*$O$15)</f>
        <v>0</v>
      </c>
      <c r="P32" s="162">
        <f t="shared" si="1"/>
        <v>0</v>
      </c>
      <c r="Q32" s="167">
        <f t="shared" si="2"/>
        <v>0</v>
      </c>
      <c r="R32" s="229"/>
      <c r="S32" s="125"/>
      <c r="T32" s="125"/>
      <c r="U32" s="125"/>
      <c r="V32" s="125"/>
      <c r="W32" s="125"/>
    </row>
    <row r="33" spans="1:25" s="74" customFormat="1" ht="15" customHeight="1" x14ac:dyDescent="0.2">
      <c r="A33" s="973" t="s">
        <v>8</v>
      </c>
      <c r="B33" s="179">
        <f>5-B32</f>
        <v>3</v>
      </c>
      <c r="C33" s="1154" t="s">
        <v>556</v>
      </c>
      <c r="D33" s="1155"/>
      <c r="E33" s="1232"/>
      <c r="F33" s="1089"/>
      <c r="G33" s="970" t="s">
        <v>31</v>
      </c>
      <c r="H33" s="84" t="s">
        <v>197</v>
      </c>
      <c r="I33" s="155">
        <f t="shared" si="6"/>
        <v>0</v>
      </c>
      <c r="J33" s="974">
        <f>I33*30%</f>
        <v>0</v>
      </c>
      <c r="K33" s="162">
        <f t="shared" si="3"/>
        <v>0</v>
      </c>
      <c r="L33" s="162">
        <f t="shared" si="5"/>
        <v>0</v>
      </c>
      <c r="M33" s="167">
        <f t="shared" si="4"/>
        <v>0</v>
      </c>
      <c r="N33" s="164"/>
      <c r="O33" s="160">
        <f>IF($O$42=0,,K33*$O$15)</f>
        <v>0</v>
      </c>
      <c r="P33" s="162">
        <f t="shared" si="1"/>
        <v>0</v>
      </c>
      <c r="Q33" s="167">
        <f t="shared" si="2"/>
        <v>0</v>
      </c>
      <c r="R33" s="229"/>
      <c r="S33" s="125"/>
      <c r="T33" s="125"/>
      <c r="U33" s="125"/>
      <c r="V33" s="125"/>
      <c r="W33" s="125"/>
    </row>
    <row r="34" spans="1:25" s="85" customFormat="1" ht="15" customHeight="1" x14ac:dyDescent="0.2">
      <c r="A34" s="973" t="s">
        <v>7</v>
      </c>
      <c r="B34" s="75"/>
      <c r="C34" s="1154" t="s">
        <v>220</v>
      </c>
      <c r="D34" s="1155"/>
      <c r="E34" s="1155"/>
      <c r="F34" s="1232"/>
      <c r="G34" s="970" t="s">
        <v>31</v>
      </c>
      <c r="H34" s="84" t="s">
        <v>10</v>
      </c>
      <c r="I34" s="155">
        <f>$D$10*20%</f>
        <v>0</v>
      </c>
      <c r="J34" s="974"/>
      <c r="K34" s="162">
        <f t="shared" si="3"/>
        <v>0</v>
      </c>
      <c r="L34" s="162">
        <f t="shared" si="5"/>
        <v>0</v>
      </c>
      <c r="M34" s="167">
        <f>I34-L34</f>
        <v>0</v>
      </c>
      <c r="N34" s="164"/>
      <c r="O34" s="160">
        <f>IF($O$42=0,,K34*$O$15)</f>
        <v>0</v>
      </c>
      <c r="P34" s="162">
        <f t="shared" si="1"/>
        <v>0</v>
      </c>
      <c r="Q34" s="167">
        <f t="shared" si="2"/>
        <v>0</v>
      </c>
      <c r="R34" s="229"/>
      <c r="S34" s="127"/>
      <c r="T34" s="127"/>
      <c r="U34" s="127"/>
      <c r="V34" s="127"/>
      <c r="W34" s="127"/>
    </row>
    <row r="35" spans="1:25" s="90" customFormat="1" ht="15" customHeight="1" x14ac:dyDescent="0.2">
      <c r="A35" s="973"/>
      <c r="B35" s="86"/>
      <c r="C35" s="1229" t="s">
        <v>221</v>
      </c>
      <c r="D35" s="1230"/>
      <c r="E35" s="1230"/>
      <c r="F35" s="1231"/>
      <c r="G35" s="703"/>
      <c r="H35" s="88"/>
      <c r="I35" s="157">
        <f>SUM(I16:I34)</f>
        <v>4</v>
      </c>
      <c r="J35" s="1047"/>
      <c r="K35" s="277">
        <f>SUM(K18:K34)</f>
        <v>4</v>
      </c>
      <c r="L35" s="162"/>
      <c r="M35" s="168">
        <f>SUM(M16:M34)</f>
        <v>3.92</v>
      </c>
      <c r="N35" s="165"/>
      <c r="O35" s="157">
        <f>IF($O$42=0,,O42-SUM(O36:O39))</f>
        <v>0</v>
      </c>
      <c r="P35" s="162"/>
      <c r="Q35" s="168">
        <f>SUM(Q16:Q34)</f>
        <v>0</v>
      </c>
      <c r="R35" s="230"/>
      <c r="S35" s="143"/>
      <c r="T35" s="143"/>
      <c r="U35" s="143"/>
      <c r="V35" s="143"/>
      <c r="W35" s="143"/>
    </row>
    <row r="36" spans="1:25" s="85" customFormat="1" ht="15" customHeight="1" x14ac:dyDescent="0.2">
      <c r="A36" s="973" t="s">
        <v>7</v>
      </c>
      <c r="B36" s="75"/>
      <c r="C36" s="1154" t="s">
        <v>419</v>
      </c>
      <c r="D36" s="1155"/>
      <c r="E36" s="1155"/>
      <c r="F36" s="1232"/>
      <c r="G36" s="970" t="s">
        <v>31</v>
      </c>
      <c r="H36" s="91"/>
      <c r="I36" s="204">
        <v>40</v>
      </c>
      <c r="J36" s="974"/>
      <c r="K36" s="162">
        <f>I36</f>
        <v>40</v>
      </c>
      <c r="L36" s="162">
        <f>IF(A36="Y", I36*2%,0)</f>
        <v>0</v>
      </c>
      <c r="M36" s="167">
        <f>I36-L36</f>
        <v>40</v>
      </c>
      <c r="N36" s="164"/>
      <c r="O36" s="155">
        <f>IF($O$42=0,,I36)</f>
        <v>0</v>
      </c>
      <c r="P36" s="162">
        <f>IF(A36="Y", O36*2%,)</f>
        <v>0</v>
      </c>
      <c r="Q36" s="167">
        <f t="shared" ref="Q36" si="7">O36-P36</f>
        <v>0</v>
      </c>
      <c r="R36" s="229"/>
      <c r="S36" s="127"/>
      <c r="T36" s="127"/>
      <c r="U36" s="127"/>
      <c r="V36" s="127"/>
      <c r="W36" s="127"/>
    </row>
    <row r="37" spans="1:25" s="85" customFormat="1" ht="15" customHeight="1" x14ac:dyDescent="0.2">
      <c r="A37" s="973" t="s">
        <v>7</v>
      </c>
      <c r="B37" s="75"/>
      <c r="C37" s="1233" t="s">
        <v>259</v>
      </c>
      <c r="D37" s="1234"/>
      <c r="E37" s="1234"/>
      <c r="F37" s="1235"/>
      <c r="G37" s="704" t="s">
        <v>31</v>
      </c>
      <c r="H37" s="92" t="s">
        <v>197</v>
      </c>
      <c r="I37" s="204">
        <v>35</v>
      </c>
      <c r="J37" s="974"/>
      <c r="K37" s="162">
        <f t="shared" ref="K37:K39" si="8">I37</f>
        <v>35</v>
      </c>
      <c r="L37" s="162">
        <f t="shared" ref="L37:L39" si="9">IF(A37="Y", I37*2%,0)</f>
        <v>0</v>
      </c>
      <c r="M37" s="167">
        <f t="shared" ref="M37:M39" si="10">I37-L37</f>
        <v>35</v>
      </c>
      <c r="N37" s="164"/>
      <c r="O37" s="155">
        <f>IF($O$42=0,,I37)</f>
        <v>0</v>
      </c>
      <c r="P37" s="162">
        <f>IF(A37="Y", O37*2%,)</f>
        <v>0</v>
      </c>
      <c r="Q37" s="167">
        <f t="shared" si="2"/>
        <v>0</v>
      </c>
      <c r="R37" s="229"/>
      <c r="S37" s="127"/>
      <c r="T37" s="127"/>
      <c r="U37" s="127"/>
      <c r="V37" s="127"/>
      <c r="W37" s="127"/>
    </row>
    <row r="38" spans="1:25" s="74" customFormat="1" ht="15" customHeight="1" x14ac:dyDescent="0.2">
      <c r="A38" s="973" t="s">
        <v>7</v>
      </c>
      <c r="B38" s="94"/>
      <c r="C38" s="1233" t="s">
        <v>421</v>
      </c>
      <c r="D38" s="1234"/>
      <c r="E38" s="1234"/>
      <c r="F38" s="1235"/>
      <c r="G38" s="704" t="s">
        <v>230</v>
      </c>
      <c r="H38" s="92" t="s">
        <v>24</v>
      </c>
      <c r="I38" s="204"/>
      <c r="J38" s="974"/>
      <c r="K38" s="162">
        <f t="shared" si="8"/>
        <v>0</v>
      </c>
      <c r="L38" s="162">
        <f t="shared" si="9"/>
        <v>0</v>
      </c>
      <c r="M38" s="167">
        <f t="shared" si="10"/>
        <v>0</v>
      </c>
      <c r="N38" s="164"/>
      <c r="O38" s="155">
        <f>IF($O$42=0,,I38)</f>
        <v>0</v>
      </c>
      <c r="P38" s="162">
        <f>IF(A38="Y", O38*2%,)</f>
        <v>0</v>
      </c>
      <c r="Q38" s="167">
        <f t="shared" si="2"/>
        <v>0</v>
      </c>
      <c r="R38" s="229"/>
      <c r="S38" s="125"/>
      <c r="T38" s="125"/>
      <c r="U38" s="125"/>
      <c r="V38" s="125"/>
      <c r="W38" s="125"/>
    </row>
    <row r="39" spans="1:25" s="74" customFormat="1" ht="15" customHeight="1" x14ac:dyDescent="0.2">
      <c r="A39" s="973" t="s">
        <v>7</v>
      </c>
      <c r="B39" s="94"/>
      <c r="C39" s="1233" t="s">
        <v>225</v>
      </c>
      <c r="D39" s="1234"/>
      <c r="E39" s="1234"/>
      <c r="F39" s="1235"/>
      <c r="G39" s="704" t="s">
        <v>31</v>
      </c>
      <c r="H39" s="92" t="s">
        <v>80</v>
      </c>
      <c r="I39" s="204">
        <v>1</v>
      </c>
      <c r="J39" s="974"/>
      <c r="K39" s="162">
        <f t="shared" si="8"/>
        <v>1</v>
      </c>
      <c r="L39" s="162">
        <f t="shared" si="9"/>
        <v>0</v>
      </c>
      <c r="M39" s="167">
        <f t="shared" si="10"/>
        <v>1</v>
      </c>
      <c r="N39" s="164"/>
      <c r="O39" s="155">
        <f>IF($O$42=0,,I39)</f>
        <v>0</v>
      </c>
      <c r="P39" s="162">
        <f>IF(A39="Y", O39*2%,)</f>
        <v>0</v>
      </c>
      <c r="Q39" s="167">
        <f t="shared" si="2"/>
        <v>0</v>
      </c>
      <c r="R39" s="229"/>
      <c r="S39" s="125"/>
      <c r="T39" s="125"/>
      <c r="U39" s="125"/>
      <c r="V39" s="125"/>
      <c r="W39" s="125"/>
    </row>
    <row r="40" spans="1:25" s="74" customFormat="1" ht="15" customHeight="1" x14ac:dyDescent="0.2">
      <c r="A40" s="93" t="s">
        <v>7</v>
      </c>
      <c r="B40" s="94"/>
      <c r="C40" s="1183" t="s">
        <v>492</v>
      </c>
      <c r="D40" s="1240"/>
      <c r="E40" s="1240"/>
      <c r="F40" s="1241"/>
      <c r="G40" s="705" t="s">
        <v>31</v>
      </c>
      <c r="H40" s="96" t="s">
        <v>41</v>
      </c>
      <c r="I40" s="97"/>
      <c r="J40" s="1048"/>
      <c r="K40" s="163"/>
      <c r="L40" s="163"/>
      <c r="M40" s="169">
        <f>L41</f>
        <v>7.9999999999999988E-2</v>
      </c>
      <c r="N40" s="164"/>
      <c r="O40" s="104"/>
      <c r="P40" s="163"/>
      <c r="Q40" s="169">
        <f>P41</f>
        <v>0</v>
      </c>
      <c r="R40" s="231"/>
      <c r="S40" s="125"/>
      <c r="T40" s="125"/>
      <c r="U40" s="125"/>
      <c r="V40" s="125"/>
      <c r="W40" s="125"/>
    </row>
    <row r="41" spans="1:25" s="125" customFormat="1" ht="15" x14ac:dyDescent="0.2">
      <c r="A41" s="123"/>
      <c r="B41" s="123"/>
      <c r="C41" s="123"/>
      <c r="D41" s="123"/>
      <c r="E41" s="124"/>
      <c r="F41" s="124"/>
      <c r="J41" s="1049">
        <f>SUM(J18:J40)</f>
        <v>1.2</v>
      </c>
      <c r="L41" s="126">
        <f>SUM(L16:L40)</f>
        <v>7.9999999999999988E-2</v>
      </c>
      <c r="M41" s="170"/>
      <c r="N41" s="127"/>
      <c r="P41" s="126">
        <f>SUM(P16:P40)</f>
        <v>0</v>
      </c>
      <c r="Q41" s="170"/>
      <c r="R41" s="232"/>
    </row>
    <row r="42" spans="1:25" s="106" customFormat="1" ht="16.5" thickBot="1" x14ac:dyDescent="0.25">
      <c r="A42" s="144"/>
      <c r="B42" s="144"/>
      <c r="C42" s="144"/>
      <c r="D42" s="144"/>
      <c r="E42" s="131"/>
      <c r="F42" s="145" t="s">
        <v>81</v>
      </c>
      <c r="G42" s="146"/>
      <c r="H42" s="147" t="s">
        <v>1</v>
      </c>
      <c r="I42" s="148">
        <f>SUM(I35:I41)</f>
        <v>80</v>
      </c>
      <c r="J42" s="1050"/>
      <c r="K42" s="148">
        <f>SUM(K35:K41)</f>
        <v>80</v>
      </c>
      <c r="L42" s="149"/>
      <c r="M42" s="171">
        <f>SUM(M35:M41)</f>
        <v>80</v>
      </c>
      <c r="N42" s="150"/>
      <c r="O42" s="206"/>
      <c r="P42" s="149"/>
      <c r="Q42" s="171">
        <f>SUM(Q35:Q41)</f>
        <v>0</v>
      </c>
      <c r="R42" s="233"/>
    </row>
    <row r="43" spans="1:25" s="54" customFormat="1" ht="19.5" thickTop="1" x14ac:dyDescent="0.2">
      <c r="A43" s="1543" t="s">
        <v>61</v>
      </c>
      <c r="B43" s="1543"/>
      <c r="C43" s="1543"/>
      <c r="D43" s="210"/>
      <c r="E43" s="133"/>
      <c r="F43" s="133"/>
      <c r="J43" s="134"/>
      <c r="K43" s="134"/>
      <c r="M43" s="135"/>
      <c r="N43" s="136"/>
      <c r="R43" s="137"/>
      <c r="S43" s="137"/>
      <c r="T43" s="137"/>
      <c r="U43" s="137"/>
      <c r="V43" s="137"/>
      <c r="W43" s="138"/>
      <c r="X43" s="138"/>
      <c r="Y43" s="139"/>
    </row>
    <row r="44" spans="1:25" s="141" customFormat="1" ht="12" x14ac:dyDescent="0.2">
      <c r="A44" s="991">
        <v>1</v>
      </c>
      <c r="B44" s="1542"/>
      <c r="C44" s="1542"/>
      <c r="D44" s="1542"/>
      <c r="E44" s="1542"/>
      <c r="F44" s="1542"/>
      <c r="G44" s="1542"/>
      <c r="H44" s="1542"/>
      <c r="I44" s="1542"/>
      <c r="J44" s="1542"/>
      <c r="K44" s="1542"/>
      <c r="L44" s="1542"/>
      <c r="M44" s="1542"/>
      <c r="N44" s="1542"/>
      <c r="O44" s="1542"/>
      <c r="P44" s="1542"/>
      <c r="Q44" s="1542"/>
      <c r="R44" s="1542"/>
      <c r="S44" s="1542"/>
      <c r="T44" s="1542"/>
      <c r="U44" s="1542"/>
      <c r="V44" s="1542"/>
      <c r="W44" s="1542"/>
      <c r="X44" s="1542"/>
      <c r="Y44" s="1542"/>
    </row>
    <row r="45" spans="1:25" s="141" customFormat="1" ht="12" x14ac:dyDescent="0.2">
      <c r="A45" s="991">
        <v>2</v>
      </c>
      <c r="B45" s="1542"/>
      <c r="C45" s="1542"/>
      <c r="D45" s="1542"/>
      <c r="E45" s="1542"/>
      <c r="F45" s="1542"/>
      <c r="G45" s="1542"/>
      <c r="H45" s="1542"/>
      <c r="I45" s="1542"/>
      <c r="J45" s="1542"/>
      <c r="K45" s="1542"/>
      <c r="L45" s="1542"/>
      <c r="M45" s="1542"/>
      <c r="N45" s="1542"/>
      <c r="O45" s="1542"/>
      <c r="P45" s="1542"/>
      <c r="Q45" s="1542"/>
      <c r="R45" s="1542"/>
      <c r="S45" s="1542"/>
      <c r="T45" s="1542"/>
      <c r="U45" s="1542"/>
      <c r="V45" s="1542"/>
      <c r="W45" s="1542"/>
      <c r="X45" s="1542"/>
      <c r="Y45" s="1542"/>
    </row>
    <row r="46" spans="1:25" s="141" customFormat="1" ht="12" x14ac:dyDescent="0.2">
      <c r="A46" s="991">
        <v>3</v>
      </c>
      <c r="B46" s="1542"/>
      <c r="C46" s="1542"/>
      <c r="D46" s="1542"/>
      <c r="E46" s="1542"/>
      <c r="F46" s="1542"/>
      <c r="G46" s="1542"/>
      <c r="H46" s="1542"/>
      <c r="I46" s="1542"/>
      <c r="J46" s="1542"/>
      <c r="K46" s="1542"/>
      <c r="L46" s="1542"/>
      <c r="M46" s="1542"/>
      <c r="N46" s="1542"/>
      <c r="O46" s="1542"/>
      <c r="P46" s="1542"/>
      <c r="Q46" s="1542"/>
      <c r="R46" s="1542"/>
      <c r="S46" s="1542"/>
      <c r="T46" s="1542"/>
      <c r="U46" s="1542"/>
      <c r="V46" s="1542"/>
      <c r="W46" s="1542"/>
      <c r="X46" s="1542"/>
      <c r="Y46" s="1542"/>
    </row>
    <row r="47" spans="1:25" s="54" customFormat="1" ht="12.75" x14ac:dyDescent="0.2">
      <c r="A47" s="991">
        <v>4</v>
      </c>
      <c r="B47" s="1542"/>
      <c r="C47" s="1542"/>
      <c r="D47" s="1542"/>
      <c r="E47" s="1542"/>
      <c r="F47" s="1542"/>
      <c r="G47" s="1542"/>
      <c r="H47" s="1542"/>
      <c r="I47" s="1542"/>
      <c r="J47" s="1542"/>
      <c r="K47" s="1542"/>
      <c r="L47" s="1542"/>
      <c r="M47" s="1542"/>
      <c r="N47" s="1542"/>
      <c r="O47" s="1542"/>
      <c r="P47" s="1542"/>
      <c r="Q47" s="1542"/>
      <c r="R47" s="1542"/>
      <c r="S47" s="1542"/>
      <c r="T47" s="1542"/>
      <c r="U47" s="1542"/>
      <c r="V47" s="1542"/>
      <c r="W47" s="1542"/>
      <c r="X47" s="1542"/>
      <c r="Y47" s="1542"/>
    </row>
    <row r="48" spans="1:25" x14ac:dyDescent="0.2">
      <c r="A48" s="992"/>
    </row>
  </sheetData>
  <mergeCells count="91">
    <mergeCell ref="B45:Y45"/>
    <mergeCell ref="B46:Y46"/>
    <mergeCell ref="B47:Y47"/>
    <mergeCell ref="C39:F39"/>
    <mergeCell ref="C40:F40"/>
    <mergeCell ref="A43:C43"/>
    <mergeCell ref="B44:Y44"/>
    <mergeCell ref="C38:F38"/>
    <mergeCell ref="C35:F35"/>
    <mergeCell ref="C36:F36"/>
    <mergeCell ref="C37:F37"/>
    <mergeCell ref="C32:E32"/>
    <mergeCell ref="F32:F33"/>
    <mergeCell ref="C33:E33"/>
    <mergeCell ref="C34:F34"/>
    <mergeCell ref="C29:D29"/>
    <mergeCell ref="C30:F30"/>
    <mergeCell ref="C31:F31"/>
    <mergeCell ref="C24:F24"/>
    <mergeCell ref="C25:D25"/>
    <mergeCell ref="E25:F29"/>
    <mergeCell ref="C26:D26"/>
    <mergeCell ref="C27:D27"/>
    <mergeCell ref="C28:D28"/>
    <mergeCell ref="C21:F21"/>
    <mergeCell ref="C22:F22"/>
    <mergeCell ref="C23:F23"/>
    <mergeCell ref="C18:F18"/>
    <mergeCell ref="B19:B20"/>
    <mergeCell ref="C19:F19"/>
    <mergeCell ref="S19:S20"/>
    <mergeCell ref="C20:F20"/>
    <mergeCell ref="C16:F16"/>
    <mergeCell ref="C17:F17"/>
    <mergeCell ref="K13:M13"/>
    <mergeCell ref="O13:Q13"/>
    <mergeCell ref="C14:F15"/>
    <mergeCell ref="I14:I15"/>
    <mergeCell ref="J14:J15"/>
    <mergeCell ref="K14:K15"/>
    <mergeCell ref="L14:L15"/>
    <mergeCell ref="P14:P15"/>
    <mergeCell ref="S11:Y11"/>
    <mergeCell ref="A10:C10"/>
    <mergeCell ref="D10:E10"/>
    <mergeCell ref="F10:I10"/>
    <mergeCell ref="J10:N10"/>
    <mergeCell ref="O10:P10"/>
    <mergeCell ref="S10:Y10"/>
    <mergeCell ref="A11:C11"/>
    <mergeCell ref="D11:E11"/>
    <mergeCell ref="F11:I11"/>
    <mergeCell ref="J11:N11"/>
    <mergeCell ref="O11:P11"/>
    <mergeCell ref="S8:Y9"/>
    <mergeCell ref="A9:C9"/>
    <mergeCell ref="D9:E9"/>
    <mergeCell ref="F9:I9"/>
    <mergeCell ref="J9:N9"/>
    <mergeCell ref="O9:P9"/>
    <mergeCell ref="A8:C8"/>
    <mergeCell ref="D8:E8"/>
    <mergeCell ref="F8:I8"/>
    <mergeCell ref="J8:N8"/>
    <mergeCell ref="O8:P8"/>
    <mergeCell ref="A7:C7"/>
    <mergeCell ref="D7:E7"/>
    <mergeCell ref="F7:I7"/>
    <mergeCell ref="J7:N7"/>
    <mergeCell ref="S7:Y7"/>
    <mergeCell ref="A1:Q1"/>
    <mergeCell ref="S6:Y6"/>
    <mergeCell ref="A5:C5"/>
    <mergeCell ref="D5:E5"/>
    <mergeCell ref="F5:I5"/>
    <mergeCell ref="J5:N5"/>
    <mergeCell ref="O5:P5"/>
    <mergeCell ref="S5:Y5"/>
    <mergeCell ref="A6:C6"/>
    <mergeCell ref="D6:E6"/>
    <mergeCell ref="F6:I6"/>
    <mergeCell ref="J6:N6"/>
    <mergeCell ref="O6:P6"/>
    <mergeCell ref="O3:P3"/>
    <mergeCell ref="S3:Y3"/>
    <mergeCell ref="A4:C4"/>
    <mergeCell ref="D4:E4"/>
    <mergeCell ref="F4:I4"/>
    <mergeCell ref="J4:N4"/>
    <mergeCell ref="O4:P4"/>
    <mergeCell ref="S4:Y4"/>
  </mergeCells>
  <conditionalFormatting sqref="E25">
    <cfRule type="cellIs" dxfId="91" priority="1" operator="notEqual">
      <formula>"GC 76000 PA ($" &amp;Q11 &amp;" for every 10) breakdown per local board of supervisor resolution (BOS)."</formula>
    </cfRule>
  </conditionalFormatting>
  <conditionalFormatting sqref="O16:Q40">
    <cfRule type="cellIs" dxfId="90" priority="7" stopIfTrue="1" operator="equal">
      <formula>0</formula>
    </cfRule>
  </conditionalFormatting>
  <conditionalFormatting sqref="W43:X43 W48:X65531 W12:X12 S13:T13">
    <cfRule type="cellIs" dxfId="89" priority="6" stopIfTrue="1" operator="notEqual">
      <formula>0</formula>
    </cfRule>
  </conditionalFormatting>
  <conditionalFormatting sqref="I16:I18">
    <cfRule type="cellIs" dxfId="88" priority="5" stopIfTrue="1" operator="equal">
      <formula>0</formula>
    </cfRule>
  </conditionalFormatting>
  <conditionalFormatting sqref="J31:M31 I18:M30 I32:M35 J36:M40">
    <cfRule type="cellIs" dxfId="87" priority="3" operator="equal">
      <formula>0</formula>
    </cfRule>
  </conditionalFormatting>
  <pageMargins left="0.7" right="0.7" top="0.75" bottom="0.75" header="0.3" footer="0.3"/>
  <pageSetup scale="69" orientation="landscape" r:id="rId1"/>
  <ignoredErrors>
    <ignoredError sqref="M35 O31 L19:L33 Q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9003" r:id="rId4" name="Button 11">
              <controlPr defaultSize="0" print="0" autoFill="0" autoPict="0" macro="[4]!mcrDisableTwoPercentUnprotect">
                <anchor moveWithCells="1">
                  <from>
                    <xdr:col>0</xdr:col>
                    <xdr:colOff>9525</xdr:colOff>
                    <xdr:row>13</xdr:row>
                    <xdr:rowOff>523875</xdr:rowOff>
                  </from>
                  <to>
                    <xdr:col>0</xdr:col>
                    <xdr:colOff>276225</xdr:colOff>
                    <xdr:row>14</xdr:row>
                    <xdr:rowOff>285750</xdr:rowOff>
                  </to>
                </anchor>
              </controlPr>
            </control>
          </mc:Choice>
        </mc:AlternateContent>
        <mc:AlternateContent xmlns:mc="http://schemas.openxmlformats.org/markup-compatibility/2006">
          <mc:Choice Requires="x14">
            <control shapeId="469004" r:id="rId5" name="Button 12">
              <controlPr defaultSize="0" print="0" autoFill="0" autoPict="0" macro="[4]!mcrEnableTwoPercentUnprotect">
                <anchor moveWithCells="1">
                  <from>
                    <xdr:col>0</xdr:col>
                    <xdr:colOff>0</xdr:colOff>
                    <xdr:row>13</xdr:row>
                    <xdr:rowOff>219075</xdr:rowOff>
                  </from>
                  <to>
                    <xdr:col>0</xdr:col>
                    <xdr:colOff>266700</xdr:colOff>
                    <xdr:row>18</xdr:row>
                    <xdr:rowOff>104775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C56"/>
  <sheetViews>
    <sheetView view="pageBreakPreview" zoomScale="80" zoomScaleNormal="100" zoomScaleSheetLayoutView="80" workbookViewId="0">
      <selection activeCell="T27" sqref="T27"/>
    </sheetView>
  </sheetViews>
  <sheetFormatPr defaultRowHeight="18.75" x14ac:dyDescent="0.2"/>
  <cols>
    <col min="1" max="1" width="4.28515625" style="98" customWidth="1"/>
    <col min="2" max="2" width="6.28515625" style="98" customWidth="1"/>
    <col min="3" max="3" width="13.5703125" style="98" customWidth="1"/>
    <col min="4" max="4" width="12" style="98" customWidth="1"/>
    <col min="5" max="5" width="9.42578125" style="99" customWidth="1"/>
    <col min="6" max="6" width="28.5703125" style="133" customWidth="1"/>
    <col min="7" max="7" width="14.7109375" style="50" customWidth="1"/>
    <col min="8" max="8" width="29.42578125" style="50" hidden="1" customWidth="1"/>
    <col min="9" max="9" width="13.28515625" style="50" customWidth="1"/>
    <col min="10" max="10" width="14.140625" style="50" hidden="1" customWidth="1"/>
    <col min="11" max="11" width="9.7109375" style="50" customWidth="1"/>
    <col min="12" max="12" width="13.42578125" style="103" customWidth="1"/>
    <col min="13" max="13" width="1.7109375" style="100" customWidth="1"/>
    <col min="14" max="14" width="15.28515625" style="50" customWidth="1"/>
    <col min="15" max="15" width="10.28515625" style="50" bestFit="1" customWidth="1"/>
    <col min="16" max="16" width="13.42578125" style="50" bestFit="1" customWidth="1"/>
    <col min="17" max="17" width="6" style="100" bestFit="1"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1.75" thickBot="1" x14ac:dyDescent="0.25">
      <c r="A1" s="1544" t="s">
        <v>583</v>
      </c>
      <c r="B1" s="1545"/>
      <c r="C1" s="1545"/>
      <c r="D1" s="1545"/>
      <c r="E1" s="1545"/>
      <c r="F1" s="1545"/>
      <c r="G1" s="1545"/>
      <c r="H1" s="1545"/>
      <c r="I1" s="1545"/>
      <c r="J1" s="1545"/>
      <c r="K1" s="1545"/>
      <c r="L1" s="1545"/>
      <c r="M1" s="1526"/>
      <c r="N1" s="1526"/>
      <c r="O1" s="1526"/>
      <c r="P1" s="1527"/>
      <c r="Q1" s="137"/>
      <c r="R1" s="932"/>
      <c r="S1" s="932"/>
      <c r="T1" s="932"/>
      <c r="U1" s="932"/>
      <c r="V1" s="932"/>
      <c r="W1" s="932"/>
      <c r="X1" s="932"/>
      <c r="Y1" s="50"/>
      <c r="Z1" s="50"/>
      <c r="AA1" s="50"/>
      <c r="AB1" s="50"/>
      <c r="AC1" s="50"/>
    </row>
    <row r="2" spans="1:29" s="54" customFormat="1" ht="19.5" thickBot="1" x14ac:dyDescent="0.25">
      <c r="A2" s="51"/>
      <c r="B2" s="51"/>
      <c r="C2" s="51"/>
      <c r="D2" s="51"/>
      <c r="E2" s="51"/>
      <c r="F2" s="51"/>
      <c r="G2" s="51"/>
      <c r="H2" s="51"/>
      <c r="I2" s="51"/>
      <c r="J2" s="51"/>
      <c r="K2" s="52"/>
      <c r="L2" s="52"/>
      <c r="M2" s="52"/>
      <c r="N2" s="52"/>
      <c r="O2" s="52"/>
      <c r="P2" s="52"/>
      <c r="Q2" s="52"/>
      <c r="R2" s="52"/>
      <c r="S2" s="52"/>
      <c r="T2" s="52"/>
      <c r="U2" s="52"/>
      <c r="V2" s="52"/>
      <c r="W2" s="52"/>
      <c r="X2" s="52"/>
    </row>
    <row r="3" spans="1:29" s="54" customFormat="1" ht="19.5" thickBot="1" x14ac:dyDescent="0.25">
      <c r="A3" s="1205" t="s">
        <v>234</v>
      </c>
      <c r="B3" s="1206"/>
      <c r="C3" s="1206"/>
      <c r="D3" s="1206"/>
      <c r="E3" s="1206"/>
      <c r="F3" s="1206"/>
      <c r="G3" s="1206"/>
      <c r="H3" s="1206"/>
      <c r="I3" s="1206"/>
      <c r="J3" s="1206"/>
      <c r="K3" s="1206"/>
      <c r="L3" s="1206"/>
      <c r="M3" s="1206"/>
      <c r="N3" s="1206"/>
      <c r="O3" s="1206"/>
      <c r="P3" s="1207"/>
      <c r="Q3" s="237"/>
    </row>
    <row r="4" spans="1:29" s="57" customFormat="1" ht="15.75" x14ac:dyDescent="0.2">
      <c r="A4" s="1378" t="s">
        <v>231</v>
      </c>
      <c r="B4" s="1373"/>
      <c r="C4" s="1198"/>
      <c r="D4" s="1203"/>
      <c r="E4" s="1204"/>
      <c r="F4" s="1345" t="s">
        <v>563</v>
      </c>
      <c r="G4" s="1346"/>
      <c r="H4" s="208"/>
      <c r="I4" s="1224"/>
      <c r="J4" s="1379"/>
      <c r="K4" s="1379"/>
      <c r="L4" s="1379"/>
      <c r="M4" s="1225"/>
      <c r="N4" s="1571" t="s">
        <v>257</v>
      </c>
      <c r="O4" s="1198"/>
      <c r="P4" s="209">
        <v>0</v>
      </c>
      <c r="Q4" s="238"/>
    </row>
    <row r="5" spans="1:29" s="57" customFormat="1" ht="15.75" x14ac:dyDescent="0.2">
      <c r="A5" s="1547" t="s">
        <v>4</v>
      </c>
      <c r="B5" s="1548"/>
      <c r="C5" s="1549"/>
      <c r="D5" s="1221"/>
      <c r="E5" s="1333"/>
      <c r="F5" s="1371" t="s">
        <v>244</v>
      </c>
      <c r="G5" s="1220"/>
      <c r="H5" s="185"/>
      <c r="I5" s="1158"/>
      <c r="J5" s="1357"/>
      <c r="K5" s="1357"/>
      <c r="L5" s="1357"/>
      <c r="M5" s="1159"/>
      <c r="N5" s="1546" t="s">
        <v>22</v>
      </c>
      <c r="O5" s="1220"/>
      <c r="P5" s="58"/>
      <c r="Q5" s="238"/>
    </row>
    <row r="6" spans="1:29" s="57" customFormat="1" ht="16.5" thickBot="1" x14ac:dyDescent="0.25">
      <c r="A6" s="1547" t="s">
        <v>12</v>
      </c>
      <c r="B6" s="1548"/>
      <c r="C6" s="1549"/>
      <c r="D6" s="1221"/>
      <c r="E6" s="1333"/>
      <c r="F6" s="1371" t="s">
        <v>20</v>
      </c>
      <c r="G6" s="1220"/>
      <c r="H6" s="185"/>
      <c r="I6" s="1158"/>
      <c r="J6" s="1357"/>
      <c r="K6" s="1357"/>
      <c r="L6" s="1357"/>
      <c r="M6" s="1159"/>
      <c r="N6" s="1550" t="s">
        <v>233</v>
      </c>
      <c r="O6" s="1173"/>
      <c r="P6" s="212">
        <f>P4+P5*10</f>
        <v>0</v>
      </c>
      <c r="Q6" s="238"/>
    </row>
    <row r="7" spans="1:29" s="57" customFormat="1" ht="16.5" thickBot="1" x14ac:dyDescent="0.25">
      <c r="A7" s="1547" t="s">
        <v>5</v>
      </c>
      <c r="B7" s="1548"/>
      <c r="C7" s="1549"/>
      <c r="D7" s="1158"/>
      <c r="E7" s="1193"/>
      <c r="F7" s="1362" t="s">
        <v>21</v>
      </c>
      <c r="G7" s="1173"/>
      <c r="H7" s="241"/>
      <c r="I7" s="1156"/>
      <c r="J7" s="1157"/>
      <c r="K7" s="1157"/>
      <c r="L7" s="1157"/>
      <c r="M7" s="1380"/>
      <c r="N7" s="789"/>
      <c r="O7" s="242"/>
      <c r="P7" s="236"/>
      <c r="Q7" s="238"/>
    </row>
    <row r="8" spans="1:29" s="57" customFormat="1" ht="15.75" customHeight="1" x14ac:dyDescent="0.2">
      <c r="A8" s="1551" t="s">
        <v>54</v>
      </c>
      <c r="B8" s="1552"/>
      <c r="C8" s="1553"/>
      <c r="D8" s="1530">
        <v>1</v>
      </c>
      <c r="E8" s="1531"/>
      <c r="F8" s="1345" t="s">
        <v>564</v>
      </c>
      <c r="G8" s="1346"/>
      <c r="H8" s="791"/>
      <c r="I8" s="1224"/>
      <c r="J8" s="1379"/>
      <c r="K8" s="1379"/>
      <c r="L8" s="1379"/>
      <c r="M8" s="1225"/>
      <c r="N8" s="1571" t="s">
        <v>257</v>
      </c>
      <c r="O8" s="1198"/>
      <c r="P8" s="55">
        <v>0</v>
      </c>
      <c r="Q8" s="239"/>
    </row>
    <row r="9" spans="1:29" s="57" customFormat="1" ht="15.75" x14ac:dyDescent="0.2">
      <c r="A9" s="1551" t="s">
        <v>53</v>
      </c>
      <c r="B9" s="1552"/>
      <c r="C9" s="1553"/>
      <c r="D9" s="1554">
        <f>100%-D8</f>
        <v>0</v>
      </c>
      <c r="E9" s="1555"/>
      <c r="F9" s="1371" t="s">
        <v>244</v>
      </c>
      <c r="G9" s="1220"/>
      <c r="H9" s="790"/>
      <c r="I9" s="1158"/>
      <c r="J9" s="1357"/>
      <c r="K9" s="1357"/>
      <c r="L9" s="1357"/>
      <c r="M9" s="1159"/>
      <c r="N9" s="1546" t="s">
        <v>22</v>
      </c>
      <c r="O9" s="1220"/>
      <c r="P9" s="58"/>
      <c r="Q9" s="239"/>
    </row>
    <row r="10" spans="1:29" s="57" customFormat="1" ht="32.25" customHeight="1" x14ac:dyDescent="0.2">
      <c r="A10" s="1556" t="s">
        <v>276</v>
      </c>
      <c r="B10" s="1557"/>
      <c r="C10" s="1558"/>
      <c r="D10" s="1559">
        <f>P6+P10</f>
        <v>0</v>
      </c>
      <c r="E10" s="1560"/>
      <c r="F10" s="1371" t="s">
        <v>20</v>
      </c>
      <c r="G10" s="1220"/>
      <c r="H10" s="790"/>
      <c r="I10" s="1158"/>
      <c r="J10" s="1357"/>
      <c r="K10" s="1357"/>
      <c r="L10" s="1357"/>
      <c r="M10" s="1159"/>
      <c r="N10" s="1546" t="s">
        <v>233</v>
      </c>
      <c r="O10" s="1220"/>
      <c r="P10" s="788">
        <f>P8+P9*10</f>
        <v>0</v>
      </c>
      <c r="Q10" s="240"/>
    </row>
    <row r="11" spans="1:29" s="57" customFormat="1" ht="19.5" thickBot="1" x14ac:dyDescent="0.25">
      <c r="A11" s="1561" t="s">
        <v>277</v>
      </c>
      <c r="B11" s="1562"/>
      <c r="C11" s="1563"/>
      <c r="D11" s="1293">
        <f>ROUNDUP(D10/10,0)</f>
        <v>0</v>
      </c>
      <c r="E11" s="1564"/>
      <c r="F11" s="1362" t="s">
        <v>21</v>
      </c>
      <c r="G11" s="1173"/>
      <c r="H11" s="792"/>
      <c r="I11" s="1156"/>
      <c r="J11" s="1157"/>
      <c r="K11" s="1157"/>
      <c r="L11" s="1157"/>
      <c r="M11" s="1499"/>
      <c r="N11" s="1565" t="s">
        <v>565</v>
      </c>
      <c r="O11" s="1566"/>
      <c r="P11" s="842">
        <f>'Local Penalties'!B8</f>
        <v>7</v>
      </c>
      <c r="Q11" s="240"/>
    </row>
    <row r="12" spans="1:29" s="57" customFormat="1" ht="19.5"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9.5" thickBot="1" x14ac:dyDescent="0.25">
      <c r="A13" s="192"/>
      <c r="B13" s="192"/>
      <c r="C13" s="192"/>
      <c r="D13" s="192"/>
      <c r="E13" s="192"/>
      <c r="F13" s="107"/>
      <c r="G13" s="108"/>
      <c r="I13" s="1299" t="s">
        <v>297</v>
      </c>
      <c r="J13" s="1300"/>
      <c r="K13" s="1300"/>
      <c r="L13" s="1301"/>
      <c r="M13" s="110"/>
      <c r="N13" s="1305" t="s">
        <v>585</v>
      </c>
      <c r="O13" s="1306"/>
      <c r="P13" s="1307"/>
      <c r="Q13" s="226"/>
      <c r="R13" s="158"/>
      <c r="S13" s="158"/>
      <c r="T13" s="159"/>
      <c r="U13" s="108"/>
      <c r="V13" s="108"/>
      <c r="W13" s="108"/>
      <c r="X13" s="108"/>
      <c r="Y13" s="108"/>
    </row>
    <row r="14" spans="1:29" ht="41.25" customHeight="1" thickBot="1" x14ac:dyDescent="0.25">
      <c r="A14" s="968">
        <v>0.02</v>
      </c>
      <c r="B14" s="968" t="s">
        <v>58</v>
      </c>
      <c r="C14" s="1160" t="s">
        <v>226</v>
      </c>
      <c r="D14" s="1161"/>
      <c r="E14" s="1161"/>
      <c r="F14" s="1162"/>
      <c r="G14" s="1002" t="s">
        <v>249</v>
      </c>
      <c r="H14" s="1022" t="s">
        <v>0</v>
      </c>
      <c r="I14" s="1024" t="s">
        <v>298</v>
      </c>
      <c r="J14" s="1025" t="s">
        <v>252</v>
      </c>
      <c r="K14" s="1574" t="s">
        <v>6</v>
      </c>
      <c r="L14" s="1005" t="s">
        <v>299</v>
      </c>
      <c r="M14" s="67"/>
      <c r="N14" s="1016" t="s">
        <v>428</v>
      </c>
      <c r="O14" s="1161" t="s">
        <v>6</v>
      </c>
      <c r="P14" s="1004" t="s">
        <v>299</v>
      </c>
      <c r="Q14" s="228"/>
      <c r="R14" s="54"/>
      <c r="S14" s="54"/>
      <c r="T14" s="54"/>
      <c r="U14" s="54"/>
      <c r="V14" s="54"/>
      <c r="W14" s="50"/>
      <c r="X14" s="50"/>
      <c r="Y14" s="50"/>
      <c r="Z14" s="50"/>
      <c r="AA14" s="50"/>
      <c r="AB14" s="50"/>
      <c r="AC14" s="50"/>
    </row>
    <row r="15" spans="1:29" ht="9.75" hidden="1" customHeight="1" thickBot="1" x14ac:dyDescent="0.25">
      <c r="A15" s="969"/>
      <c r="B15" s="969"/>
      <c r="C15" s="1163"/>
      <c r="D15" s="1164"/>
      <c r="E15" s="1164"/>
      <c r="F15" s="1165"/>
      <c r="G15" s="1003"/>
      <c r="H15" s="1023"/>
      <c r="I15" s="1026"/>
      <c r="J15" s="1027">
        <f>J35/I35</f>
        <v>355</v>
      </c>
      <c r="K15" s="1575"/>
      <c r="L15" s="1013" t="s">
        <v>42</v>
      </c>
      <c r="M15" s="68"/>
      <c r="N15" s="1017" t="e">
        <f>(N35-N31)/(I35-I31)</f>
        <v>#DIV/0!</v>
      </c>
      <c r="O15" s="1164"/>
      <c r="P15" s="294" t="s">
        <v>44</v>
      </c>
      <c r="Q15" s="228"/>
      <c r="R15" s="54"/>
      <c r="S15" s="54"/>
      <c r="T15" s="54"/>
      <c r="U15" s="54"/>
      <c r="V15" s="54"/>
      <c r="W15" s="50"/>
      <c r="X15" s="50"/>
      <c r="Y15" s="50"/>
      <c r="Z15" s="50"/>
      <c r="AA15" s="50"/>
      <c r="AB15" s="50"/>
      <c r="AC15" s="50"/>
    </row>
    <row r="16" spans="1:29" s="74" customFormat="1" ht="15" x14ac:dyDescent="0.2">
      <c r="A16" s="973" t="s">
        <v>8</v>
      </c>
      <c r="B16" s="1567" t="s">
        <v>241</v>
      </c>
      <c r="C16" s="1568" t="s">
        <v>488</v>
      </c>
      <c r="D16" s="1569"/>
      <c r="E16" s="1569"/>
      <c r="F16" s="1570"/>
      <c r="G16" s="971" t="s">
        <v>32</v>
      </c>
      <c r="H16" s="843" t="s">
        <v>14</v>
      </c>
      <c r="I16" s="844">
        <v>50</v>
      </c>
      <c r="J16" s="975">
        <f>I16</f>
        <v>50</v>
      </c>
      <c r="K16" s="974">
        <f>IF(A16="Y", I16*2%,0)</f>
        <v>1</v>
      </c>
      <c r="L16" s="1012">
        <f>I16-K16</f>
        <v>49</v>
      </c>
      <c r="M16" s="164"/>
      <c r="N16" s="1018">
        <f>IF($N$49=0,,IF($N$15*$I$16&gt;50,$I$16,$N$15*$I$16))</f>
        <v>0</v>
      </c>
      <c r="O16" s="1014">
        <f t="shared" ref="O16:O34" si="0">IF(A16="Y", N16*2%,)</f>
        <v>0</v>
      </c>
      <c r="P16" s="1035">
        <f>N16-O16</f>
        <v>0</v>
      </c>
      <c r="Q16" s="229"/>
      <c r="R16" s="125"/>
      <c r="S16" s="125"/>
      <c r="T16" s="125"/>
      <c r="U16" s="125"/>
      <c r="V16" s="125"/>
    </row>
    <row r="17" spans="1:22" s="74" customFormat="1" ht="15" x14ac:dyDescent="0.2">
      <c r="A17" s="973" t="s">
        <v>8</v>
      </c>
      <c r="B17" s="1178"/>
      <c r="C17" s="1576" t="s">
        <v>489</v>
      </c>
      <c r="D17" s="1577"/>
      <c r="E17" s="1577"/>
      <c r="F17" s="1578"/>
      <c r="G17" s="972" t="s">
        <v>32</v>
      </c>
      <c r="H17" s="845" t="s">
        <v>14</v>
      </c>
      <c r="I17" s="846">
        <v>50</v>
      </c>
      <c r="J17" s="976">
        <f>I17</f>
        <v>50</v>
      </c>
      <c r="K17" s="974">
        <f t="shared" ref="K17:K44" si="1">IF(A17="Y", I17*2%,0)</f>
        <v>1</v>
      </c>
      <c r="L17" s="1006">
        <f t="shared" ref="L17:L46" si="2">I17-K17</f>
        <v>49</v>
      </c>
      <c r="M17" s="164"/>
      <c r="N17" s="1019">
        <f>IF($N$49=0,,IF($N$15*$I$17&gt;50,$I$17,$N$15*$I$17))</f>
        <v>0</v>
      </c>
      <c r="O17" s="1014">
        <f t="shared" si="0"/>
        <v>0</v>
      </c>
      <c r="P17" s="1036">
        <f>N17-O17</f>
        <v>0</v>
      </c>
      <c r="Q17" s="229"/>
      <c r="R17" s="125"/>
      <c r="S17" s="125"/>
      <c r="T17" s="125"/>
      <c r="U17" s="125"/>
      <c r="V17" s="125"/>
    </row>
    <row r="18" spans="1:22" s="74" customFormat="1" ht="15" x14ac:dyDescent="0.2">
      <c r="A18" s="973" t="s">
        <v>8</v>
      </c>
      <c r="B18" s="1178"/>
      <c r="C18" s="1576" t="s">
        <v>493</v>
      </c>
      <c r="D18" s="1577"/>
      <c r="E18" s="1577"/>
      <c r="F18" s="1578"/>
      <c r="G18" s="972" t="s">
        <v>31</v>
      </c>
      <c r="H18" s="845" t="s">
        <v>51</v>
      </c>
      <c r="I18" s="846">
        <v>20</v>
      </c>
      <c r="J18" s="976">
        <f>I18</f>
        <v>20</v>
      </c>
      <c r="K18" s="974">
        <f t="shared" si="1"/>
        <v>0.4</v>
      </c>
      <c r="L18" s="1006">
        <f t="shared" si="2"/>
        <v>19.600000000000001</v>
      </c>
      <c r="M18" s="164"/>
      <c r="N18" s="1019">
        <f>IF($N$49=0,,IF($N$15*$I$18&gt;20,$I$18,$N$15*$I$18))</f>
        <v>0</v>
      </c>
      <c r="O18" s="1014">
        <f t="shared" si="0"/>
        <v>0</v>
      </c>
      <c r="P18" s="1036">
        <f t="shared" ref="P18:P46" si="3">N18-O18</f>
        <v>0</v>
      </c>
      <c r="Q18" s="229"/>
      <c r="R18" s="125"/>
      <c r="S18" s="125"/>
      <c r="T18" s="125"/>
      <c r="U18" s="125"/>
      <c r="V18" s="125"/>
    </row>
    <row r="19" spans="1:22" s="74" customFormat="1" ht="15" x14ac:dyDescent="0.2">
      <c r="A19" s="973" t="s">
        <v>8</v>
      </c>
      <c r="B19" s="1178"/>
      <c r="C19" s="1183" t="s">
        <v>212</v>
      </c>
      <c r="D19" s="1240"/>
      <c r="E19" s="1240"/>
      <c r="F19" s="1241"/>
      <c r="G19" s="967" t="s">
        <v>32</v>
      </c>
      <c r="H19" s="77" t="s">
        <v>27</v>
      </c>
      <c r="I19" s="155">
        <f>(D10-SUM(I16:I18))*D8</f>
        <v>-120</v>
      </c>
      <c r="J19" s="155">
        <f>((SUM(I16:I20)*J15)-SUM(J16:J18))*D8</f>
        <v>-120</v>
      </c>
      <c r="K19" s="162">
        <f t="shared" si="1"/>
        <v>-2.4</v>
      </c>
      <c r="L19" s="1007">
        <f t="shared" si="2"/>
        <v>-117.6</v>
      </c>
      <c r="M19" s="164"/>
      <c r="N19" s="1019">
        <f>IF($N$49=0,,(($N$15*$D$10)-SUM($N$16:$N$18))*D8)</f>
        <v>0</v>
      </c>
      <c r="O19" s="1014">
        <f t="shared" si="0"/>
        <v>0</v>
      </c>
      <c r="P19" s="1036">
        <f t="shared" si="3"/>
        <v>0</v>
      </c>
      <c r="Q19" s="229"/>
      <c r="R19" s="125"/>
      <c r="S19" s="125"/>
      <c r="T19" s="125"/>
      <c r="U19" s="125"/>
      <c r="V19" s="125"/>
    </row>
    <row r="20" spans="1:22" s="74" customFormat="1" ht="15" x14ac:dyDescent="0.2">
      <c r="A20" s="973" t="s">
        <v>8</v>
      </c>
      <c r="B20" s="1179"/>
      <c r="C20" s="1183" t="s">
        <v>213</v>
      </c>
      <c r="D20" s="1240"/>
      <c r="E20" s="1240"/>
      <c r="F20" s="1241"/>
      <c r="G20" s="967" t="s">
        <v>52</v>
      </c>
      <c r="H20" s="77" t="s">
        <v>25</v>
      </c>
      <c r="I20" s="155">
        <f>(D10-SUM(I16:I18))*D9</f>
        <v>0</v>
      </c>
      <c r="J20" s="155">
        <f>((SUM(I16:I20)*J15)-SUM(J16:J18))*D9</f>
        <v>0</v>
      </c>
      <c r="K20" s="162">
        <f t="shared" si="1"/>
        <v>0</v>
      </c>
      <c r="L20" s="1007">
        <f t="shared" si="2"/>
        <v>0</v>
      </c>
      <c r="M20" s="164"/>
      <c r="N20" s="1019">
        <f>IF($N$49=0,,(($N$15*$D$10)-SUM($N$16:$N$18))*D9)</f>
        <v>0</v>
      </c>
      <c r="O20" s="1014">
        <f t="shared" si="0"/>
        <v>0</v>
      </c>
      <c r="P20" s="1036">
        <f t="shared" si="3"/>
        <v>0</v>
      </c>
      <c r="Q20" s="229"/>
      <c r="R20" s="125"/>
      <c r="S20" s="125"/>
      <c r="T20" s="125"/>
      <c r="U20" s="125"/>
      <c r="V20" s="125"/>
    </row>
    <row r="21" spans="1:22" s="74" customFormat="1" ht="15" x14ac:dyDescent="0.2">
      <c r="A21" s="973" t="s">
        <v>8</v>
      </c>
      <c r="B21" s="75">
        <v>7</v>
      </c>
      <c r="C21" s="1183" t="s">
        <v>546</v>
      </c>
      <c r="D21" s="1240"/>
      <c r="E21" s="1240"/>
      <c r="F21" s="1241"/>
      <c r="G21" s="967" t="s">
        <v>31</v>
      </c>
      <c r="H21" s="77" t="s">
        <v>26</v>
      </c>
      <c r="I21" s="155">
        <f>$D$11*B21</f>
        <v>0</v>
      </c>
      <c r="J21" s="155">
        <f>$J$15*I21</f>
        <v>0</v>
      </c>
      <c r="K21" s="162">
        <f t="shared" si="1"/>
        <v>0</v>
      </c>
      <c r="L21" s="1007">
        <f t="shared" si="2"/>
        <v>0</v>
      </c>
      <c r="M21" s="164"/>
      <c r="N21" s="1019">
        <f t="shared" ref="N21:N34" si="4">IF($N$49=0,,$N$15*I21)</f>
        <v>0</v>
      </c>
      <c r="O21" s="1014">
        <f t="shared" si="0"/>
        <v>0</v>
      </c>
      <c r="P21" s="1036">
        <f t="shared" si="3"/>
        <v>0</v>
      </c>
      <c r="Q21" s="229"/>
      <c r="R21" s="125"/>
      <c r="T21" s="125"/>
      <c r="U21" s="125"/>
      <c r="V21" s="125"/>
    </row>
    <row r="22" spans="1:22" s="74" customFormat="1" ht="15" x14ac:dyDescent="0.2">
      <c r="A22" s="973" t="s">
        <v>8</v>
      </c>
      <c r="B22" s="75">
        <v>3</v>
      </c>
      <c r="C22" s="1183" t="s">
        <v>547</v>
      </c>
      <c r="D22" s="1240"/>
      <c r="E22" s="1240"/>
      <c r="F22" s="1241"/>
      <c r="G22" s="967" t="s">
        <v>32</v>
      </c>
      <c r="H22" s="77" t="s">
        <v>27</v>
      </c>
      <c r="I22" s="155">
        <f t="shared" ref="I22:I33" si="5">$D$11*B22</f>
        <v>0</v>
      </c>
      <c r="J22" s="155">
        <f t="shared" ref="J22:J34" si="6">$J$15*I22</f>
        <v>0</v>
      </c>
      <c r="K22" s="162">
        <f t="shared" si="1"/>
        <v>0</v>
      </c>
      <c r="L22" s="1007">
        <f t="shared" si="2"/>
        <v>0</v>
      </c>
      <c r="M22" s="164"/>
      <c r="N22" s="1019">
        <f t="shared" si="4"/>
        <v>0</v>
      </c>
      <c r="O22" s="1014">
        <f t="shared" si="0"/>
        <v>0</v>
      </c>
      <c r="P22" s="1036">
        <f t="shared" si="3"/>
        <v>0</v>
      </c>
      <c r="Q22" s="229"/>
      <c r="R22" s="125"/>
      <c r="S22" s="125"/>
      <c r="T22" s="125"/>
      <c r="U22" s="125"/>
      <c r="V22" s="125"/>
    </row>
    <row r="23" spans="1:22" s="74" customFormat="1" ht="15" customHeight="1" x14ac:dyDescent="0.2">
      <c r="A23" s="973" t="s">
        <v>8</v>
      </c>
      <c r="B23" s="75">
        <v>1</v>
      </c>
      <c r="C23" s="1183" t="s">
        <v>216</v>
      </c>
      <c r="D23" s="1240"/>
      <c r="E23" s="1240"/>
      <c r="F23" s="1241"/>
      <c r="G23" s="967" t="s">
        <v>32</v>
      </c>
      <c r="H23" s="77" t="s">
        <v>55</v>
      </c>
      <c r="I23" s="155">
        <f t="shared" si="5"/>
        <v>0</v>
      </c>
      <c r="J23" s="155">
        <f t="shared" si="6"/>
        <v>0</v>
      </c>
      <c r="K23" s="162">
        <f t="shared" si="1"/>
        <v>0</v>
      </c>
      <c r="L23" s="1007">
        <f t="shared" si="2"/>
        <v>0</v>
      </c>
      <c r="M23" s="164"/>
      <c r="N23" s="1019">
        <f t="shared" si="4"/>
        <v>0</v>
      </c>
      <c r="O23" s="1014">
        <f t="shared" si="0"/>
        <v>0</v>
      </c>
      <c r="P23" s="1036">
        <f t="shared" si="3"/>
        <v>0</v>
      </c>
      <c r="Q23" s="229"/>
      <c r="R23" s="125"/>
      <c r="S23" s="125"/>
      <c r="T23" s="125"/>
      <c r="U23" s="125"/>
      <c r="V23" s="125"/>
    </row>
    <row r="24" spans="1:22" s="74" customFormat="1" ht="15" x14ac:dyDescent="0.2">
      <c r="A24" s="973" t="s">
        <v>8</v>
      </c>
      <c r="B24" s="75">
        <v>4</v>
      </c>
      <c r="C24" s="1183" t="s">
        <v>466</v>
      </c>
      <c r="D24" s="1240"/>
      <c r="E24" s="1240"/>
      <c r="F24" s="1241"/>
      <c r="G24" s="967" t="s">
        <v>31</v>
      </c>
      <c r="H24" s="77" t="s">
        <v>72</v>
      </c>
      <c r="I24" s="155">
        <f t="shared" si="5"/>
        <v>0</v>
      </c>
      <c r="J24" s="155">
        <f t="shared" si="6"/>
        <v>0</v>
      </c>
      <c r="K24" s="162">
        <f t="shared" si="1"/>
        <v>0</v>
      </c>
      <c r="L24" s="1007">
        <f t="shared" si="2"/>
        <v>0</v>
      </c>
      <c r="M24" s="164"/>
      <c r="N24" s="1019">
        <f t="shared" si="4"/>
        <v>0</v>
      </c>
      <c r="O24" s="1014">
        <f t="shared" si="0"/>
        <v>0</v>
      </c>
      <c r="P24" s="1036">
        <f t="shared" si="3"/>
        <v>0</v>
      </c>
      <c r="Q24" s="229"/>
      <c r="R24" s="125"/>
      <c r="S24" s="125"/>
      <c r="T24" s="125"/>
      <c r="U24" s="125"/>
      <c r="V24" s="125"/>
    </row>
    <row r="25" spans="1:22" s="74" customFormat="1" ht="15" customHeight="1" x14ac:dyDescent="0.2">
      <c r="A25" s="973" t="s">
        <v>8</v>
      </c>
      <c r="B25" s="178">
        <v>0</v>
      </c>
      <c r="C25" s="1183" t="s">
        <v>217</v>
      </c>
      <c r="D25" s="1241"/>
      <c r="E25" s="1279" t="str">
        <f>IF(SUM(B25:B29)=P11,"GC 76000 PA ($" &amp;P11 &amp; " for every 10) breakdown = local Board of Supervisor resolution (BOS).","ERROR! GC 76000 PA total is not $" &amp;P11&amp; ". Check local Board of Supervisor resolution.")</f>
        <v>ERROR! GC 76000 PA total is not $7. Check local Board of Supervisor resolution.</v>
      </c>
      <c r="F25" s="1280"/>
      <c r="G25" s="967" t="s">
        <v>32</v>
      </c>
      <c r="H25" s="77" t="s">
        <v>64</v>
      </c>
      <c r="I25" s="155">
        <f t="shared" si="5"/>
        <v>0</v>
      </c>
      <c r="J25" s="155">
        <f t="shared" si="6"/>
        <v>0</v>
      </c>
      <c r="K25" s="162">
        <f t="shared" si="1"/>
        <v>0</v>
      </c>
      <c r="L25" s="1007">
        <f t="shared" si="2"/>
        <v>0</v>
      </c>
      <c r="M25" s="164"/>
      <c r="N25" s="1019">
        <f t="shared" si="4"/>
        <v>0</v>
      </c>
      <c r="O25" s="1014">
        <f t="shared" si="0"/>
        <v>0</v>
      </c>
      <c r="P25" s="1036">
        <f t="shared" si="3"/>
        <v>0</v>
      </c>
      <c r="Q25" s="229"/>
      <c r="R25" s="125"/>
      <c r="S25" s="125"/>
      <c r="T25" s="125"/>
      <c r="U25" s="125"/>
      <c r="V25" s="125"/>
    </row>
    <row r="26" spans="1:22" s="74" customFormat="1" ht="15" customHeight="1" x14ac:dyDescent="0.2">
      <c r="A26" s="973" t="s">
        <v>8</v>
      </c>
      <c r="B26" s="178">
        <v>0</v>
      </c>
      <c r="C26" s="1183" t="s">
        <v>218</v>
      </c>
      <c r="D26" s="1241"/>
      <c r="E26" s="1281"/>
      <c r="F26" s="1282"/>
      <c r="G26" s="967" t="s">
        <v>32</v>
      </c>
      <c r="H26" s="77" t="s">
        <v>35</v>
      </c>
      <c r="I26" s="155">
        <f t="shared" si="5"/>
        <v>0</v>
      </c>
      <c r="J26" s="155">
        <f t="shared" si="6"/>
        <v>0</v>
      </c>
      <c r="K26" s="162">
        <f t="shared" si="1"/>
        <v>0</v>
      </c>
      <c r="L26" s="1007">
        <f t="shared" si="2"/>
        <v>0</v>
      </c>
      <c r="M26" s="164"/>
      <c r="N26" s="1019">
        <f t="shared" si="4"/>
        <v>0</v>
      </c>
      <c r="O26" s="1014">
        <f t="shared" si="0"/>
        <v>0</v>
      </c>
      <c r="P26" s="1036">
        <f t="shared" si="3"/>
        <v>0</v>
      </c>
      <c r="Q26" s="229"/>
      <c r="R26" s="125"/>
      <c r="S26" s="125"/>
      <c r="T26" s="125"/>
      <c r="U26" s="125"/>
      <c r="V26" s="125"/>
    </row>
    <row r="27" spans="1:22" s="74" customFormat="1" ht="15" customHeight="1" x14ac:dyDescent="0.2">
      <c r="A27" s="973" t="s">
        <v>8</v>
      </c>
      <c r="B27" s="178">
        <v>0</v>
      </c>
      <c r="C27" s="1183" t="s">
        <v>219</v>
      </c>
      <c r="D27" s="1241"/>
      <c r="E27" s="1281"/>
      <c r="F27" s="1282"/>
      <c r="G27" s="967" t="s">
        <v>32</v>
      </c>
      <c r="H27" s="77" t="s">
        <v>65</v>
      </c>
      <c r="I27" s="155">
        <f t="shared" si="5"/>
        <v>0</v>
      </c>
      <c r="J27" s="155">
        <f t="shared" si="6"/>
        <v>0</v>
      </c>
      <c r="K27" s="162">
        <f t="shared" si="1"/>
        <v>0</v>
      </c>
      <c r="L27" s="1007">
        <f t="shared" si="2"/>
        <v>0</v>
      </c>
      <c r="M27" s="164"/>
      <c r="N27" s="1019">
        <f t="shared" si="4"/>
        <v>0</v>
      </c>
      <c r="O27" s="1014">
        <f t="shared" si="0"/>
        <v>0</v>
      </c>
      <c r="P27" s="1036">
        <f t="shared" si="3"/>
        <v>0</v>
      </c>
      <c r="Q27" s="229"/>
      <c r="R27" s="125"/>
      <c r="S27" s="125"/>
      <c r="T27" s="125"/>
      <c r="U27" s="125"/>
      <c r="V27" s="125"/>
    </row>
    <row r="28" spans="1:22" s="74" customFormat="1" ht="15" customHeight="1" x14ac:dyDescent="0.2">
      <c r="A28" s="973" t="s">
        <v>8</v>
      </c>
      <c r="B28" s="178">
        <v>0</v>
      </c>
      <c r="C28" s="1183" t="s">
        <v>401</v>
      </c>
      <c r="D28" s="1241"/>
      <c r="E28" s="1281"/>
      <c r="F28" s="1282"/>
      <c r="G28" s="967" t="s">
        <v>32</v>
      </c>
      <c r="H28" s="77" t="s">
        <v>65</v>
      </c>
      <c r="I28" s="155">
        <f>$D$11*B28</f>
        <v>0</v>
      </c>
      <c r="J28" s="155">
        <f>$J$15*I28</f>
        <v>0</v>
      </c>
      <c r="K28" s="162">
        <f>IF(A28="Y", I28*2%,0)</f>
        <v>0</v>
      </c>
      <c r="L28" s="1007">
        <f>I28-K28</f>
        <v>0</v>
      </c>
      <c r="M28" s="164"/>
      <c r="N28" s="1019">
        <f t="shared" si="4"/>
        <v>0</v>
      </c>
      <c r="O28" s="1014">
        <f t="shared" si="0"/>
        <v>0</v>
      </c>
      <c r="P28" s="1036">
        <f t="shared" si="3"/>
        <v>0</v>
      </c>
      <c r="Q28" s="229"/>
      <c r="R28" s="125"/>
      <c r="S28" s="125"/>
      <c r="T28" s="125"/>
      <c r="U28" s="125"/>
      <c r="V28" s="125"/>
    </row>
    <row r="29" spans="1:22" s="74" customFormat="1" ht="15" customHeight="1" x14ac:dyDescent="0.2">
      <c r="A29" s="973" t="s">
        <v>8</v>
      </c>
      <c r="B29" s="178">
        <v>0</v>
      </c>
      <c r="C29" s="1183" t="s">
        <v>254</v>
      </c>
      <c r="D29" s="1241"/>
      <c r="E29" s="1283"/>
      <c r="F29" s="1284"/>
      <c r="G29" s="967" t="s">
        <v>32</v>
      </c>
      <c r="H29" s="77"/>
      <c r="I29" s="155">
        <f t="shared" si="5"/>
        <v>0</v>
      </c>
      <c r="J29" s="155">
        <f t="shared" si="6"/>
        <v>0</v>
      </c>
      <c r="K29" s="162">
        <f t="shared" si="1"/>
        <v>0</v>
      </c>
      <c r="L29" s="1007">
        <f t="shared" si="2"/>
        <v>0</v>
      </c>
      <c r="M29" s="164"/>
      <c r="N29" s="1019">
        <f t="shared" si="4"/>
        <v>0</v>
      </c>
      <c r="O29" s="1014">
        <f t="shared" si="0"/>
        <v>0</v>
      </c>
      <c r="P29" s="1036">
        <f t="shared" si="3"/>
        <v>0</v>
      </c>
      <c r="Q29" s="229"/>
      <c r="R29" s="125"/>
      <c r="S29" s="125"/>
      <c r="T29" s="125"/>
      <c r="U29" s="125"/>
      <c r="V29" s="125"/>
    </row>
    <row r="30" spans="1:22" s="85" customFormat="1" ht="15" x14ac:dyDescent="0.2">
      <c r="A30" s="973" t="s">
        <v>8</v>
      </c>
      <c r="B30" s="178">
        <v>2</v>
      </c>
      <c r="C30" s="1154" t="s">
        <v>286</v>
      </c>
      <c r="D30" s="1155"/>
      <c r="E30" s="1155"/>
      <c r="F30" s="1232"/>
      <c r="G30" s="970" t="s">
        <v>32</v>
      </c>
      <c r="H30" s="84" t="s">
        <v>36</v>
      </c>
      <c r="I30" s="155">
        <f t="shared" si="5"/>
        <v>0</v>
      </c>
      <c r="J30" s="155">
        <f t="shared" si="6"/>
        <v>0</v>
      </c>
      <c r="K30" s="162">
        <f t="shared" si="1"/>
        <v>0</v>
      </c>
      <c r="L30" s="1007">
        <f t="shared" si="2"/>
        <v>0</v>
      </c>
      <c r="M30" s="164"/>
      <c r="N30" s="1019">
        <f t="shared" si="4"/>
        <v>0</v>
      </c>
      <c r="O30" s="1014">
        <f t="shared" si="0"/>
        <v>0</v>
      </c>
      <c r="P30" s="1036">
        <f t="shared" si="3"/>
        <v>0</v>
      </c>
      <c r="Q30" s="229"/>
      <c r="R30" s="127"/>
      <c r="S30" s="127"/>
      <c r="T30" s="127"/>
      <c r="U30" s="127"/>
      <c r="V30" s="127"/>
    </row>
    <row r="31" spans="1:22" s="90" customFormat="1" ht="15" customHeight="1" x14ac:dyDescent="0.2">
      <c r="A31" s="973" t="s">
        <v>8</v>
      </c>
      <c r="B31" s="86"/>
      <c r="C31" s="1154" t="s">
        <v>385</v>
      </c>
      <c r="D31" s="1155"/>
      <c r="E31" s="1155"/>
      <c r="F31" s="1232"/>
      <c r="G31" s="970" t="s">
        <v>31</v>
      </c>
      <c r="H31" s="88"/>
      <c r="I31" s="204">
        <v>4</v>
      </c>
      <c r="J31" s="155">
        <f>$J$15*I31</f>
        <v>1420</v>
      </c>
      <c r="K31" s="162">
        <f>IF(A31="Y", I31*2%,0)</f>
        <v>0.08</v>
      </c>
      <c r="L31" s="1007">
        <f>I31-K31</f>
        <v>3.92</v>
      </c>
      <c r="M31" s="165"/>
      <c r="N31" s="1019">
        <f t="shared" si="4"/>
        <v>0</v>
      </c>
      <c r="O31" s="1014">
        <f t="shared" si="0"/>
        <v>0</v>
      </c>
      <c r="P31" s="1036">
        <f>N31-O31</f>
        <v>0</v>
      </c>
      <c r="Q31" s="229"/>
      <c r="R31" s="143"/>
      <c r="S31" s="143"/>
      <c r="T31" s="143"/>
      <c r="U31" s="143"/>
      <c r="V31" s="143"/>
    </row>
    <row r="32" spans="1:22" s="74" customFormat="1" ht="15" customHeight="1" x14ac:dyDescent="0.2">
      <c r="A32" s="973" t="s">
        <v>8</v>
      </c>
      <c r="B32" s="782">
        <v>2</v>
      </c>
      <c r="C32" s="1154" t="s">
        <v>555</v>
      </c>
      <c r="D32" s="1155"/>
      <c r="E32" s="1232"/>
      <c r="F32" s="1277" t="s">
        <v>281</v>
      </c>
      <c r="G32" s="970" t="s">
        <v>31</v>
      </c>
      <c r="H32" s="84" t="s">
        <v>37</v>
      </c>
      <c r="I32" s="155">
        <f t="shared" si="5"/>
        <v>0</v>
      </c>
      <c r="J32" s="155">
        <f t="shared" si="6"/>
        <v>0</v>
      </c>
      <c r="K32" s="162">
        <f t="shared" si="1"/>
        <v>0</v>
      </c>
      <c r="L32" s="1007">
        <f t="shared" si="2"/>
        <v>0</v>
      </c>
      <c r="M32" s="164"/>
      <c r="N32" s="1019">
        <f t="shared" si="4"/>
        <v>0</v>
      </c>
      <c r="O32" s="1014">
        <f t="shared" si="0"/>
        <v>0</v>
      </c>
      <c r="P32" s="1036">
        <f t="shared" si="3"/>
        <v>0</v>
      </c>
      <c r="Q32" s="229"/>
      <c r="R32" s="125"/>
      <c r="S32" s="125"/>
      <c r="T32" s="125"/>
      <c r="U32" s="125"/>
      <c r="V32" s="125"/>
    </row>
    <row r="33" spans="1:22" s="74" customFormat="1" ht="15" customHeight="1" x14ac:dyDescent="0.2">
      <c r="A33" s="973" t="s">
        <v>8</v>
      </c>
      <c r="B33" s="179">
        <f>5-B32</f>
        <v>3</v>
      </c>
      <c r="C33" s="1154" t="s">
        <v>556</v>
      </c>
      <c r="D33" s="1155"/>
      <c r="E33" s="1232"/>
      <c r="F33" s="1278"/>
      <c r="G33" s="707" t="s">
        <v>31</v>
      </c>
      <c r="H33" s="84" t="s">
        <v>197</v>
      </c>
      <c r="I33" s="155">
        <f t="shared" si="5"/>
        <v>0</v>
      </c>
      <c r="J33" s="155">
        <f t="shared" si="6"/>
        <v>0</v>
      </c>
      <c r="K33" s="162">
        <f t="shared" si="1"/>
        <v>0</v>
      </c>
      <c r="L33" s="1007">
        <f t="shared" si="2"/>
        <v>0</v>
      </c>
      <c r="M33" s="164"/>
      <c r="N33" s="1019">
        <f t="shared" si="4"/>
        <v>0</v>
      </c>
      <c r="O33" s="1014">
        <f t="shared" si="0"/>
        <v>0</v>
      </c>
      <c r="P33" s="1036">
        <f t="shared" si="3"/>
        <v>0</v>
      </c>
      <c r="Q33" s="229"/>
      <c r="R33" s="125"/>
      <c r="S33" s="125"/>
      <c r="T33" s="125"/>
      <c r="U33" s="125"/>
      <c r="V33" s="125"/>
    </row>
    <row r="34" spans="1:22" s="85" customFormat="1" ht="15" x14ac:dyDescent="0.2">
      <c r="A34" s="973" t="s">
        <v>7</v>
      </c>
      <c r="B34" s="75"/>
      <c r="C34" s="1154" t="s">
        <v>220</v>
      </c>
      <c r="D34" s="1155"/>
      <c r="E34" s="1155"/>
      <c r="F34" s="1232"/>
      <c r="G34" s="970" t="s">
        <v>31</v>
      </c>
      <c r="H34" s="84" t="s">
        <v>10</v>
      </c>
      <c r="I34" s="155">
        <f>$D$10*20%</f>
        <v>0</v>
      </c>
      <c r="J34" s="155">
        <f t="shared" si="6"/>
        <v>0</v>
      </c>
      <c r="K34" s="162">
        <f t="shared" si="1"/>
        <v>0</v>
      </c>
      <c r="L34" s="1007">
        <f t="shared" si="2"/>
        <v>0</v>
      </c>
      <c r="M34" s="164"/>
      <c r="N34" s="1019">
        <f t="shared" si="4"/>
        <v>0</v>
      </c>
      <c r="O34" s="1014">
        <f t="shared" si="0"/>
        <v>0</v>
      </c>
      <c r="P34" s="1036">
        <f t="shared" si="3"/>
        <v>0</v>
      </c>
      <c r="Q34" s="229"/>
      <c r="R34" s="127"/>
      <c r="S34" s="127"/>
      <c r="T34" s="127"/>
      <c r="U34" s="127"/>
      <c r="V34" s="127"/>
    </row>
    <row r="35" spans="1:22" s="90" customFormat="1" ht="15" x14ac:dyDescent="0.2">
      <c r="A35" s="973"/>
      <c r="B35" s="86"/>
      <c r="C35" s="1229" t="s">
        <v>221</v>
      </c>
      <c r="D35" s="1572"/>
      <c r="E35" s="1572"/>
      <c r="F35" s="1573"/>
      <c r="G35" s="703"/>
      <c r="H35" s="88"/>
      <c r="I35" s="157">
        <f>SUM(I16:I34)</f>
        <v>4</v>
      </c>
      <c r="J35" s="157">
        <f>J49-SUM(J36:J45)</f>
        <v>1420</v>
      </c>
      <c r="K35" s="162"/>
      <c r="L35" s="1008">
        <f>SUM(L16:L34)</f>
        <v>3.92</v>
      </c>
      <c r="M35" s="165"/>
      <c r="N35" s="1020">
        <f>IF($N$49=0,,N49-SUM(N36:N45))</f>
        <v>0</v>
      </c>
      <c r="O35" s="1014"/>
      <c r="P35" s="1037">
        <f>SUM(P16:P34)</f>
        <v>0</v>
      </c>
      <c r="Q35" s="230"/>
      <c r="R35" s="143"/>
      <c r="S35" s="143"/>
      <c r="T35" s="143"/>
      <c r="U35" s="143"/>
      <c r="V35" s="143"/>
    </row>
    <row r="36" spans="1:22" s="85" customFormat="1" ht="15" x14ac:dyDescent="0.2">
      <c r="A36" s="973" t="s">
        <v>7</v>
      </c>
      <c r="B36" s="75"/>
      <c r="C36" s="1154" t="s">
        <v>419</v>
      </c>
      <c r="D36" s="1155"/>
      <c r="E36" s="1155"/>
      <c r="F36" s="1232"/>
      <c r="G36" s="970" t="s">
        <v>31</v>
      </c>
      <c r="H36" s="91" t="s">
        <v>39</v>
      </c>
      <c r="I36" s="204">
        <v>40</v>
      </c>
      <c r="J36" s="155">
        <f>I36</f>
        <v>40</v>
      </c>
      <c r="K36" s="162">
        <f t="shared" si="1"/>
        <v>0</v>
      </c>
      <c r="L36" s="1007">
        <f t="shared" si="2"/>
        <v>40</v>
      </c>
      <c r="M36" s="164"/>
      <c r="N36" s="1019">
        <f t="shared" ref="N36:N46" si="7">IF($N$49=0,,I36)</f>
        <v>0</v>
      </c>
      <c r="O36" s="1014">
        <f t="shared" ref="O36:O44" si="8">IF(A36="Y", N36*2%,)</f>
        <v>0</v>
      </c>
      <c r="P36" s="1036">
        <f t="shared" si="3"/>
        <v>0</v>
      </c>
      <c r="Q36" s="229"/>
      <c r="R36" s="127"/>
      <c r="S36" s="127"/>
      <c r="T36" s="127"/>
      <c r="U36" s="127"/>
      <c r="V36" s="127"/>
    </row>
    <row r="37" spans="1:22" s="85" customFormat="1" ht="15" x14ac:dyDescent="0.2">
      <c r="A37" s="973" t="s">
        <v>7</v>
      </c>
      <c r="B37" s="75"/>
      <c r="C37" s="1233" t="s">
        <v>259</v>
      </c>
      <c r="D37" s="1234"/>
      <c r="E37" s="1234"/>
      <c r="F37" s="1235"/>
      <c r="G37" s="704" t="s">
        <v>31</v>
      </c>
      <c r="H37" s="92" t="s">
        <v>197</v>
      </c>
      <c r="I37" s="204">
        <v>30</v>
      </c>
      <c r="J37" s="155">
        <f t="shared" ref="J37:J45" si="9">I37</f>
        <v>30</v>
      </c>
      <c r="K37" s="162">
        <f t="shared" si="1"/>
        <v>0</v>
      </c>
      <c r="L37" s="1007">
        <f t="shared" si="2"/>
        <v>30</v>
      </c>
      <c r="M37" s="164"/>
      <c r="N37" s="1019">
        <f t="shared" si="7"/>
        <v>0</v>
      </c>
      <c r="O37" s="1014">
        <f t="shared" si="8"/>
        <v>0</v>
      </c>
      <c r="P37" s="1036">
        <f t="shared" si="3"/>
        <v>0</v>
      </c>
      <c r="Q37" s="229"/>
      <c r="R37" s="127"/>
      <c r="S37" s="127"/>
      <c r="T37" s="127"/>
      <c r="U37" s="127"/>
      <c r="V37" s="127"/>
    </row>
    <row r="38" spans="1:22" s="74" customFormat="1" ht="15" x14ac:dyDescent="0.2">
      <c r="A38" s="973" t="s">
        <v>7</v>
      </c>
      <c r="B38" s="94"/>
      <c r="C38" s="1233" t="s">
        <v>421</v>
      </c>
      <c r="D38" s="1234"/>
      <c r="E38" s="1234"/>
      <c r="F38" s="1235"/>
      <c r="G38" s="704" t="s">
        <v>230</v>
      </c>
      <c r="H38" s="92" t="s">
        <v>24</v>
      </c>
      <c r="I38" s="204">
        <v>0</v>
      </c>
      <c r="J38" s="155">
        <f t="shared" si="9"/>
        <v>0</v>
      </c>
      <c r="K38" s="162">
        <f t="shared" si="1"/>
        <v>0</v>
      </c>
      <c r="L38" s="1007">
        <f t="shared" si="2"/>
        <v>0</v>
      </c>
      <c r="M38" s="164"/>
      <c r="N38" s="1019">
        <f t="shared" si="7"/>
        <v>0</v>
      </c>
      <c r="O38" s="1014">
        <f t="shared" si="8"/>
        <v>0</v>
      </c>
      <c r="P38" s="1036">
        <f t="shared" si="3"/>
        <v>0</v>
      </c>
      <c r="Q38" s="229"/>
      <c r="R38" s="125"/>
      <c r="S38" s="125"/>
      <c r="T38" s="125"/>
      <c r="U38" s="125"/>
      <c r="V38" s="125"/>
    </row>
    <row r="39" spans="1:22" s="74" customFormat="1" ht="15" x14ac:dyDescent="0.2">
      <c r="A39" s="973" t="s">
        <v>7</v>
      </c>
      <c r="B39" s="94"/>
      <c r="C39" s="1233" t="s">
        <v>284</v>
      </c>
      <c r="D39" s="1234"/>
      <c r="E39" s="1234"/>
      <c r="F39" s="1235"/>
      <c r="G39" s="704" t="s">
        <v>32</v>
      </c>
      <c r="H39" s="92" t="s">
        <v>27</v>
      </c>
      <c r="I39" s="204">
        <v>150</v>
      </c>
      <c r="J39" s="155">
        <f t="shared" si="9"/>
        <v>150</v>
      </c>
      <c r="K39" s="162">
        <f t="shared" si="1"/>
        <v>0</v>
      </c>
      <c r="L39" s="1007">
        <f t="shared" si="2"/>
        <v>150</v>
      </c>
      <c r="M39" s="164"/>
      <c r="N39" s="1019">
        <f t="shared" si="7"/>
        <v>0</v>
      </c>
      <c r="O39" s="1014">
        <f t="shared" si="8"/>
        <v>0</v>
      </c>
      <c r="P39" s="1036">
        <f t="shared" si="3"/>
        <v>0</v>
      </c>
      <c r="Q39" s="229"/>
      <c r="R39" s="125"/>
      <c r="S39" s="125"/>
      <c r="T39" s="125"/>
      <c r="U39" s="125"/>
      <c r="V39" s="125"/>
    </row>
    <row r="40" spans="1:22" s="74" customFormat="1" ht="15" x14ac:dyDescent="0.2">
      <c r="A40" s="973" t="s">
        <v>8</v>
      </c>
      <c r="B40" s="94"/>
      <c r="C40" s="1233" t="s">
        <v>495</v>
      </c>
      <c r="D40" s="1234"/>
      <c r="E40" s="1234"/>
      <c r="F40" s="1235"/>
      <c r="G40" s="704" t="s">
        <v>446</v>
      </c>
      <c r="H40" s="92"/>
      <c r="I40" s="204">
        <v>50</v>
      </c>
      <c r="J40" s="155"/>
      <c r="K40" s="162">
        <f t="shared" si="1"/>
        <v>1</v>
      </c>
      <c r="L40" s="1007">
        <f t="shared" si="2"/>
        <v>49</v>
      </c>
      <c r="M40" s="164"/>
      <c r="N40" s="1019">
        <f t="shared" si="7"/>
        <v>0</v>
      </c>
      <c r="O40" s="1014">
        <f t="shared" si="8"/>
        <v>0</v>
      </c>
      <c r="P40" s="1036">
        <f>N40-O40</f>
        <v>0</v>
      </c>
      <c r="Q40" s="229"/>
      <c r="R40" s="125"/>
      <c r="S40" s="125"/>
      <c r="T40" s="125"/>
      <c r="U40" s="125"/>
      <c r="V40" s="125"/>
    </row>
    <row r="41" spans="1:22" s="74" customFormat="1" ht="15" x14ac:dyDescent="0.2">
      <c r="A41" s="973" t="s">
        <v>8</v>
      </c>
      <c r="B41" s="94"/>
      <c r="C41" s="1233" t="s">
        <v>494</v>
      </c>
      <c r="D41" s="1234"/>
      <c r="E41" s="1234"/>
      <c r="F41" s="1235"/>
      <c r="G41" s="704" t="s">
        <v>32</v>
      </c>
      <c r="H41" s="92" t="s">
        <v>15</v>
      </c>
      <c r="I41" s="204">
        <v>50</v>
      </c>
      <c r="J41" s="155">
        <f>I41</f>
        <v>50</v>
      </c>
      <c r="K41" s="162">
        <f>IF(A41="Y", I41*2%,0)</f>
        <v>1</v>
      </c>
      <c r="L41" s="1007">
        <f>I41-K41</f>
        <v>49</v>
      </c>
      <c r="M41" s="164"/>
      <c r="N41" s="1019">
        <f t="shared" si="7"/>
        <v>0</v>
      </c>
      <c r="O41" s="1014">
        <f t="shared" si="8"/>
        <v>0</v>
      </c>
      <c r="P41" s="1036">
        <f>N41-O41</f>
        <v>0</v>
      </c>
      <c r="Q41" s="229"/>
      <c r="R41" s="125"/>
      <c r="S41" s="125"/>
      <c r="T41" s="125"/>
      <c r="U41" s="125"/>
      <c r="V41" s="125"/>
    </row>
    <row r="42" spans="1:22" s="74" customFormat="1" ht="15" x14ac:dyDescent="0.2">
      <c r="A42" s="973" t="s">
        <v>7</v>
      </c>
      <c r="B42" s="94"/>
      <c r="C42" s="1233" t="s">
        <v>445</v>
      </c>
      <c r="D42" s="1234"/>
      <c r="E42" s="1234"/>
      <c r="F42" s="1235"/>
      <c r="G42" s="704" t="s">
        <v>32</v>
      </c>
      <c r="H42" s="92"/>
      <c r="I42" s="204">
        <v>100</v>
      </c>
      <c r="J42" s="155">
        <f>I42</f>
        <v>100</v>
      </c>
      <c r="K42" s="162">
        <f t="shared" si="1"/>
        <v>0</v>
      </c>
      <c r="L42" s="1007">
        <f t="shared" si="2"/>
        <v>100</v>
      </c>
      <c r="M42" s="164"/>
      <c r="N42" s="1019">
        <f t="shared" si="7"/>
        <v>0</v>
      </c>
      <c r="O42" s="1014">
        <f t="shared" si="8"/>
        <v>0</v>
      </c>
      <c r="P42" s="1036">
        <f t="shared" ref="P42:P43" si="10">N42-O42</f>
        <v>0</v>
      </c>
      <c r="Q42" s="229"/>
      <c r="R42" s="125"/>
      <c r="S42" s="125"/>
      <c r="T42" s="125"/>
      <c r="U42" s="125"/>
      <c r="V42" s="125"/>
    </row>
    <row r="43" spans="1:22" s="74" customFormat="1" ht="15" x14ac:dyDescent="0.2">
      <c r="A43" s="973" t="s">
        <v>8</v>
      </c>
      <c r="B43" s="94"/>
      <c r="C43" s="1233" t="s">
        <v>559</v>
      </c>
      <c r="D43" s="1234"/>
      <c r="E43" s="1234"/>
      <c r="F43" s="1235"/>
      <c r="G43" s="704" t="s">
        <v>31</v>
      </c>
      <c r="H43" s="92" t="s">
        <v>13</v>
      </c>
      <c r="I43" s="204">
        <v>150</v>
      </c>
      <c r="J43" s="155">
        <f t="shared" si="9"/>
        <v>150</v>
      </c>
      <c r="K43" s="162">
        <f t="shared" si="1"/>
        <v>3</v>
      </c>
      <c r="L43" s="1007">
        <f t="shared" si="2"/>
        <v>147</v>
      </c>
      <c r="M43" s="164"/>
      <c r="N43" s="1019">
        <f t="shared" si="7"/>
        <v>0</v>
      </c>
      <c r="O43" s="1014">
        <f t="shared" si="8"/>
        <v>0</v>
      </c>
      <c r="P43" s="1036">
        <f t="shared" si="10"/>
        <v>0</v>
      </c>
      <c r="Q43" s="229"/>
      <c r="R43" s="125"/>
      <c r="S43" s="125"/>
      <c r="T43" s="125"/>
      <c r="U43" s="125"/>
      <c r="V43" s="125"/>
    </row>
    <row r="44" spans="1:22" s="74" customFormat="1" ht="15" x14ac:dyDescent="0.2">
      <c r="A44" s="973" t="s">
        <v>7</v>
      </c>
      <c r="B44" s="94"/>
      <c r="C44" s="1233" t="s">
        <v>454</v>
      </c>
      <c r="D44" s="1234"/>
      <c r="E44" s="1234"/>
      <c r="F44" s="1235"/>
      <c r="G44" s="704" t="s">
        <v>32</v>
      </c>
      <c r="H44" s="92" t="s">
        <v>27</v>
      </c>
      <c r="I44" s="204"/>
      <c r="J44" s="155">
        <f t="shared" si="9"/>
        <v>0</v>
      </c>
      <c r="K44" s="162">
        <f t="shared" si="1"/>
        <v>0</v>
      </c>
      <c r="L44" s="1007">
        <f t="shared" si="2"/>
        <v>0</v>
      </c>
      <c r="M44" s="164"/>
      <c r="N44" s="1019">
        <f t="shared" si="7"/>
        <v>0</v>
      </c>
      <c r="O44" s="1014">
        <f t="shared" si="8"/>
        <v>0</v>
      </c>
      <c r="P44" s="1036">
        <f t="shared" si="3"/>
        <v>0</v>
      </c>
      <c r="Q44" s="229"/>
      <c r="R44" s="125"/>
      <c r="S44" s="125"/>
      <c r="T44" s="125"/>
      <c r="U44" s="125"/>
      <c r="V44" s="125"/>
    </row>
    <row r="45" spans="1:22" s="74" customFormat="1" ht="15" x14ac:dyDescent="0.2">
      <c r="A45" s="973" t="s">
        <v>7</v>
      </c>
      <c r="B45" s="94"/>
      <c r="C45" s="1233" t="s">
        <v>376</v>
      </c>
      <c r="D45" s="1234"/>
      <c r="E45" s="1234"/>
      <c r="F45" s="1235"/>
      <c r="G45" s="704" t="s">
        <v>32</v>
      </c>
      <c r="H45" s="92" t="s">
        <v>80</v>
      </c>
      <c r="I45" s="205"/>
      <c r="J45" s="155">
        <f t="shared" si="9"/>
        <v>0</v>
      </c>
      <c r="K45" s="162">
        <f>IF(A46="Y", I45*2%,0)</f>
        <v>0</v>
      </c>
      <c r="L45" s="1007">
        <f t="shared" si="2"/>
        <v>0</v>
      </c>
      <c r="M45" s="164"/>
      <c r="N45" s="1019">
        <f t="shared" si="7"/>
        <v>0</v>
      </c>
      <c r="O45" s="1014">
        <f>IF(A46="Y", N45*2%,)</f>
        <v>0</v>
      </c>
      <c r="P45" s="1036">
        <f t="shared" si="3"/>
        <v>0</v>
      </c>
      <c r="Q45" s="229"/>
      <c r="R45" s="125"/>
      <c r="S45" s="125"/>
      <c r="T45" s="125"/>
      <c r="U45" s="125"/>
      <c r="V45" s="125"/>
    </row>
    <row r="46" spans="1:22" s="74" customFormat="1" ht="15" x14ac:dyDescent="0.2">
      <c r="A46" s="973" t="s">
        <v>7</v>
      </c>
      <c r="B46" s="94"/>
      <c r="C46" s="1233" t="s">
        <v>225</v>
      </c>
      <c r="D46" s="1234"/>
      <c r="E46" s="1234"/>
      <c r="F46" s="1235"/>
      <c r="G46" s="704" t="s">
        <v>31</v>
      </c>
      <c r="H46" s="92"/>
      <c r="I46" s="205">
        <v>0</v>
      </c>
      <c r="J46" s="155"/>
      <c r="K46" s="162">
        <f>IF(A47="Y", I46*2%,0)</f>
        <v>0</v>
      </c>
      <c r="L46" s="1007">
        <f t="shared" si="2"/>
        <v>0</v>
      </c>
      <c r="M46" s="164"/>
      <c r="N46" s="1019">
        <f t="shared" si="7"/>
        <v>0</v>
      </c>
      <c r="O46" s="1014">
        <f>IF(A47="Y", N46*2%,)</f>
        <v>0</v>
      </c>
      <c r="P46" s="1036">
        <f t="shared" si="3"/>
        <v>0</v>
      </c>
      <c r="Q46" s="229"/>
      <c r="R46" s="125"/>
      <c r="S46" s="125"/>
      <c r="T46" s="125"/>
      <c r="U46" s="125"/>
      <c r="V46" s="125"/>
    </row>
    <row r="47" spans="1:22" s="74" customFormat="1" ht="15" customHeight="1" x14ac:dyDescent="0.2">
      <c r="A47" s="93" t="s">
        <v>7</v>
      </c>
      <c r="B47" s="94"/>
      <c r="C47" s="1183" t="s">
        <v>487</v>
      </c>
      <c r="D47" s="1240"/>
      <c r="E47" s="1240"/>
      <c r="F47" s="1241"/>
      <c r="G47" s="705" t="s">
        <v>31</v>
      </c>
      <c r="H47" s="96" t="s">
        <v>41</v>
      </c>
      <c r="I47" s="97"/>
      <c r="J47" s="104"/>
      <c r="K47" s="163"/>
      <c r="L47" s="1009">
        <f>K48</f>
        <v>5.08</v>
      </c>
      <c r="M47" s="164"/>
      <c r="N47" s="1021"/>
      <c r="O47" s="1015"/>
      <c r="P47" s="1038">
        <f>O48</f>
        <v>0</v>
      </c>
      <c r="Q47" s="229"/>
      <c r="R47" s="125"/>
      <c r="S47" s="125"/>
      <c r="T47" s="125"/>
      <c r="U47" s="125"/>
      <c r="V47" s="125"/>
    </row>
    <row r="48" spans="1:22" s="74" customFormat="1" ht="15.75" thickBot="1" x14ac:dyDescent="0.25">
      <c r="A48" s="123"/>
      <c r="B48" s="123"/>
      <c r="C48" s="123"/>
      <c r="D48" s="123"/>
      <c r="E48" s="124"/>
      <c r="F48" s="124"/>
      <c r="G48" s="125"/>
      <c r="H48" s="125"/>
      <c r="I48" s="125"/>
      <c r="J48" s="125"/>
      <c r="K48" s="126">
        <f>SUM(K16:K47)</f>
        <v>5.08</v>
      </c>
      <c r="L48" s="1010"/>
      <c r="M48" s="127"/>
      <c r="N48" s="125"/>
      <c r="O48" s="126">
        <f>SUM(O16:O47)</f>
        <v>0</v>
      </c>
      <c r="P48" s="1039"/>
      <c r="Q48" s="231"/>
      <c r="R48" s="125"/>
      <c r="S48" s="125"/>
      <c r="T48" s="125"/>
      <c r="U48" s="125"/>
      <c r="V48" s="125"/>
    </row>
    <row r="49" spans="1:24" s="125" customFormat="1" ht="16.5" thickBot="1" x14ac:dyDescent="0.25">
      <c r="A49" s="144"/>
      <c r="B49" s="144"/>
      <c r="C49" s="144"/>
      <c r="D49" s="144"/>
      <c r="E49" s="131"/>
      <c r="F49" s="145" t="s">
        <v>81</v>
      </c>
      <c r="G49" s="146"/>
      <c r="H49" s="147" t="s">
        <v>1</v>
      </c>
      <c r="I49" s="977">
        <f>SUM(I35:I48)</f>
        <v>574</v>
      </c>
      <c r="J49" s="978">
        <v>1940</v>
      </c>
      <c r="K49" s="979"/>
      <c r="L49" s="1011">
        <f>SUM(L35:L48)</f>
        <v>574.00000000000011</v>
      </c>
      <c r="M49" s="980"/>
      <c r="N49" s="978"/>
      <c r="O49" s="979"/>
      <c r="P49" s="1040">
        <f>SUM(P35:P48)</f>
        <v>0</v>
      </c>
      <c r="Q49" s="232"/>
    </row>
    <row r="50" spans="1:24" s="106" customFormat="1" x14ac:dyDescent="0.2">
      <c r="A50" s="1532" t="s">
        <v>61</v>
      </c>
      <c r="B50" s="1532"/>
      <c r="C50" s="1532"/>
      <c r="D50" s="981"/>
      <c r="E50" s="982"/>
      <c r="F50" s="982"/>
      <c r="G50" s="983"/>
      <c r="H50" s="983"/>
      <c r="I50" s="983"/>
      <c r="J50" s="984"/>
      <c r="K50" s="983"/>
      <c r="L50" s="985"/>
      <c r="M50" s="984"/>
      <c r="N50" s="983"/>
      <c r="O50" s="983"/>
      <c r="P50" s="983"/>
      <c r="Q50" s="149"/>
    </row>
    <row r="51" spans="1:24" s="54" customFormat="1" ht="12.75" x14ac:dyDescent="0.2">
      <c r="A51" s="986">
        <v>1</v>
      </c>
      <c r="B51" s="987"/>
      <c r="C51" s="987"/>
      <c r="D51" s="987"/>
      <c r="E51" s="987"/>
      <c r="F51" s="987"/>
      <c r="G51" s="987"/>
      <c r="H51" s="987"/>
      <c r="I51" s="987"/>
      <c r="J51" s="987"/>
      <c r="K51" s="987"/>
      <c r="L51" s="987"/>
      <c r="M51" s="987"/>
      <c r="N51" s="987"/>
      <c r="O51" s="987"/>
      <c r="P51" s="987"/>
      <c r="Q51" s="983"/>
      <c r="R51" s="983"/>
      <c r="S51" s="983"/>
      <c r="T51" s="983"/>
      <c r="U51" s="983"/>
      <c r="V51" s="988"/>
      <c r="W51" s="988"/>
      <c r="X51" s="321"/>
    </row>
    <row r="52" spans="1:24" s="141" customFormat="1" ht="12" x14ac:dyDescent="0.2">
      <c r="A52" s="986">
        <v>2</v>
      </c>
      <c r="B52" s="987"/>
      <c r="C52" s="987"/>
      <c r="D52" s="987"/>
      <c r="E52" s="987"/>
      <c r="F52" s="987"/>
      <c r="G52" s="987"/>
      <c r="H52" s="987"/>
      <c r="I52" s="987"/>
      <c r="J52" s="987"/>
      <c r="K52" s="987"/>
      <c r="L52" s="987"/>
      <c r="M52" s="987"/>
      <c r="N52" s="987"/>
      <c r="O52" s="987"/>
      <c r="P52" s="987"/>
      <c r="Q52" s="987"/>
      <c r="R52" s="987"/>
      <c r="S52" s="987"/>
      <c r="T52" s="987"/>
      <c r="U52" s="987"/>
      <c r="V52" s="987"/>
      <c r="W52" s="987"/>
      <c r="X52" s="987"/>
    </row>
    <row r="53" spans="1:24" s="141" customFormat="1" ht="12" x14ac:dyDescent="0.2">
      <c r="A53" s="986">
        <v>3</v>
      </c>
      <c r="B53" s="987"/>
      <c r="C53" s="987"/>
      <c r="D53" s="987"/>
      <c r="E53" s="987"/>
      <c r="F53" s="987"/>
      <c r="G53" s="987"/>
      <c r="H53" s="987"/>
      <c r="I53" s="987"/>
      <c r="J53" s="987"/>
      <c r="K53" s="987"/>
      <c r="L53" s="987"/>
      <c r="M53" s="987"/>
      <c r="N53" s="987"/>
      <c r="O53" s="987"/>
      <c r="P53" s="987"/>
      <c r="Q53" s="987"/>
      <c r="R53" s="987"/>
      <c r="S53" s="987"/>
      <c r="T53" s="987"/>
      <c r="U53" s="987"/>
      <c r="V53" s="987"/>
      <c r="W53" s="987"/>
      <c r="X53" s="987"/>
    </row>
    <row r="54" spans="1:24" s="141" customFormat="1" ht="12" x14ac:dyDescent="0.2">
      <c r="A54" s="986">
        <v>4</v>
      </c>
      <c r="B54" s="987"/>
      <c r="C54" s="987"/>
      <c r="D54" s="987"/>
      <c r="E54" s="987"/>
      <c r="F54" s="987"/>
      <c r="G54" s="987"/>
      <c r="H54" s="987"/>
      <c r="I54" s="987"/>
      <c r="J54" s="987"/>
      <c r="K54" s="987"/>
      <c r="L54" s="987"/>
      <c r="M54" s="987"/>
      <c r="N54" s="987"/>
      <c r="O54" s="987"/>
      <c r="P54" s="987"/>
      <c r="Q54" s="987"/>
      <c r="R54" s="987"/>
      <c r="S54" s="987"/>
      <c r="T54" s="987"/>
      <c r="U54" s="987"/>
      <c r="V54" s="987"/>
      <c r="W54" s="987"/>
      <c r="X54" s="987"/>
    </row>
    <row r="55" spans="1:24" s="54" customFormat="1" x14ac:dyDescent="0.2">
      <c r="A55" s="989"/>
      <c r="B55" s="989"/>
      <c r="C55" s="989"/>
      <c r="D55" s="989"/>
      <c r="E55" s="982"/>
      <c r="F55" s="982"/>
      <c r="G55" s="983"/>
      <c r="H55" s="983"/>
      <c r="I55" s="983"/>
      <c r="J55" s="983"/>
      <c r="K55" s="983"/>
      <c r="L55" s="990"/>
      <c r="M55" s="983"/>
      <c r="N55" s="983"/>
      <c r="O55" s="983"/>
      <c r="P55" s="983"/>
      <c r="Q55" s="987"/>
      <c r="R55" s="987"/>
      <c r="S55" s="987"/>
      <c r="T55" s="987"/>
      <c r="U55" s="987"/>
      <c r="V55" s="987"/>
      <c r="W55" s="987"/>
      <c r="X55" s="987"/>
    </row>
    <row r="56" spans="1:24" x14ac:dyDescent="0.2">
      <c r="Q56" s="983"/>
      <c r="R56" s="983"/>
      <c r="S56" s="983"/>
      <c r="T56" s="983"/>
      <c r="U56" s="983"/>
      <c r="V56" s="988"/>
      <c r="W56" s="988"/>
      <c r="X56" s="321"/>
    </row>
  </sheetData>
  <mergeCells count="82">
    <mergeCell ref="C39:F39"/>
    <mergeCell ref="C40:F40"/>
    <mergeCell ref="C31:F31"/>
    <mergeCell ref="C33:E33"/>
    <mergeCell ref="N13:P13"/>
    <mergeCell ref="C14:F15"/>
    <mergeCell ref="K14:K15"/>
    <mergeCell ref="O14:O15"/>
    <mergeCell ref="C17:F17"/>
    <mergeCell ref="C18:F18"/>
    <mergeCell ref="C19:F19"/>
    <mergeCell ref="C20:F20"/>
    <mergeCell ref="C21:F21"/>
    <mergeCell ref="C22:F22"/>
    <mergeCell ref="C23:F23"/>
    <mergeCell ref="C24:F24"/>
    <mergeCell ref="A50:C50"/>
    <mergeCell ref="C25:D25"/>
    <mergeCell ref="E25:F29"/>
    <mergeCell ref="C30:F30"/>
    <mergeCell ref="C32:E32"/>
    <mergeCell ref="F32:F33"/>
    <mergeCell ref="C34:F34"/>
    <mergeCell ref="C46:F46"/>
    <mergeCell ref="C35:F35"/>
    <mergeCell ref="C36:F36"/>
    <mergeCell ref="C37:F37"/>
    <mergeCell ref="C38:F38"/>
    <mergeCell ref="C27:D27"/>
    <mergeCell ref="C28:D28"/>
    <mergeCell ref="C29:D29"/>
    <mergeCell ref="C26:D26"/>
    <mergeCell ref="B16:B20"/>
    <mergeCell ref="C16:F16"/>
    <mergeCell ref="C47:F47"/>
    <mergeCell ref="A3:P3"/>
    <mergeCell ref="A4:C4"/>
    <mergeCell ref="D4:E4"/>
    <mergeCell ref="F4:G4"/>
    <mergeCell ref="I4:M4"/>
    <mergeCell ref="N4:O4"/>
    <mergeCell ref="N8:O8"/>
    <mergeCell ref="C41:F41"/>
    <mergeCell ref="C42:F42"/>
    <mergeCell ref="C43:F43"/>
    <mergeCell ref="C44:F44"/>
    <mergeCell ref="C45:F45"/>
    <mergeCell ref="I13:L13"/>
    <mergeCell ref="A11:C11"/>
    <mergeCell ref="D11:E11"/>
    <mergeCell ref="F11:G11"/>
    <mergeCell ref="I11:M11"/>
    <mergeCell ref="N11:O11"/>
    <mergeCell ref="N9:O9"/>
    <mergeCell ref="A10:C10"/>
    <mergeCell ref="D10:E10"/>
    <mergeCell ref="F10:G10"/>
    <mergeCell ref="I10:M10"/>
    <mergeCell ref="N10:O10"/>
    <mergeCell ref="A8:C8"/>
    <mergeCell ref="D8:E8"/>
    <mergeCell ref="F8:G8"/>
    <mergeCell ref="I8:M8"/>
    <mergeCell ref="A9:C9"/>
    <mergeCell ref="D9:E9"/>
    <mergeCell ref="F9:G9"/>
    <mergeCell ref="I9:M9"/>
    <mergeCell ref="A1:P1"/>
    <mergeCell ref="N5:O5"/>
    <mergeCell ref="A7:C7"/>
    <mergeCell ref="D7:E7"/>
    <mergeCell ref="F7:G7"/>
    <mergeCell ref="I7:M7"/>
    <mergeCell ref="A5:C5"/>
    <mergeCell ref="D5:E5"/>
    <mergeCell ref="F5:G5"/>
    <mergeCell ref="I5:M5"/>
    <mergeCell ref="A6:C6"/>
    <mergeCell ref="D6:E6"/>
    <mergeCell ref="F6:G6"/>
    <mergeCell ref="I6:M6"/>
    <mergeCell ref="N6:O6"/>
  </mergeCells>
  <conditionalFormatting sqref="I32:I35 I19:I30 K16:L47">
    <cfRule type="cellIs" dxfId="86" priority="1" operator="equal">
      <formula>0</formula>
    </cfRule>
  </conditionalFormatting>
  <conditionalFormatting sqref="N16:P47">
    <cfRule type="cellIs" dxfId="85" priority="7" stopIfTrue="1" operator="equal">
      <formula>0</formula>
    </cfRule>
  </conditionalFormatting>
  <conditionalFormatting sqref="H16:H24 H30 H32:H34">
    <cfRule type="expression" dxfId="84" priority="6" stopIfTrue="1">
      <formula>MOD(ROW(),2)=0</formula>
    </cfRule>
  </conditionalFormatting>
  <conditionalFormatting sqref="V51:W51 V56:W65535 V12:W12 R13:S13">
    <cfRule type="cellIs" dxfId="83" priority="5" stopIfTrue="1" operator="notEqual">
      <formula>0</formula>
    </cfRule>
  </conditionalFormatting>
  <conditionalFormatting sqref="H25:H30">
    <cfRule type="expression" dxfId="82" priority="4" stopIfTrue="1">
      <formula>MOD(ROW(), 2)=0</formula>
    </cfRule>
  </conditionalFormatting>
  <conditionalFormatting sqref="I16:I18">
    <cfRule type="cellIs" dxfId="81" priority="3" stopIfTrue="1" operator="equal">
      <formula>0</formula>
    </cfRule>
  </conditionalFormatting>
  <conditionalFormatting sqref="E25">
    <cfRule type="cellIs" dxfId="80" priority="2" operator="notEqual">
      <formula>"GC 76000 PA ($" &amp;P11&amp;" for every 10) breakdown = local Board of Supervisor resolution (BOS)."</formula>
    </cfRule>
  </conditionalFormatting>
  <pageMargins left="0.7" right="0.7" top="0.75" bottom="0.75" header="0.3" footer="0.3"/>
  <pageSetup scale="55" orientation="portrait" r:id="rId1"/>
  <ignoredErrors>
    <ignoredError sqref="P35 L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7986" r:id="rId4" name="Button 18">
              <controlPr defaultSize="0" print="0" autoFill="0" autoPict="0" macro="[4]!mcrDisableTwoPercentUnprotect">
                <anchor moveWithCells="1">
                  <from>
                    <xdr:col>0</xdr:col>
                    <xdr:colOff>9525</xdr:colOff>
                    <xdr:row>13</xdr:row>
                    <xdr:rowOff>523875</xdr:rowOff>
                  </from>
                  <to>
                    <xdr:col>0</xdr:col>
                    <xdr:colOff>276225</xdr:colOff>
                    <xdr:row>16</xdr:row>
                    <xdr:rowOff>85725</xdr:rowOff>
                  </to>
                </anchor>
              </controlPr>
            </control>
          </mc:Choice>
        </mc:AlternateContent>
        <mc:AlternateContent xmlns:mc="http://schemas.openxmlformats.org/markup-compatibility/2006">
          <mc:Choice Requires="x14">
            <control shapeId="467987" r:id="rId5" name="Button 19">
              <controlPr defaultSize="0" print="0" autoFill="0" autoPict="0" macro="[4]!mcrEnableTwoPercentUnprotect">
                <anchor moveWithCells="1">
                  <from>
                    <xdr:col>0</xdr:col>
                    <xdr:colOff>0</xdr:colOff>
                    <xdr:row>13</xdr:row>
                    <xdr:rowOff>219075</xdr:rowOff>
                  </from>
                  <to>
                    <xdr:col>0</xdr:col>
                    <xdr:colOff>266700</xdr:colOff>
                    <xdr:row>16</xdr:row>
                    <xdr:rowOff>161925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P43"/>
  <sheetViews>
    <sheetView topLeftCell="A4" zoomScale="80" zoomScaleNormal="80" workbookViewId="0">
      <selection activeCell="Y44" sqref="Y44"/>
    </sheetView>
  </sheetViews>
  <sheetFormatPr defaultRowHeight="18.75" x14ac:dyDescent="0.2"/>
  <cols>
    <col min="1" max="1" width="4.7109375" customWidth="1"/>
    <col min="2" max="2" width="4.28515625" style="98" customWidth="1"/>
    <col min="3" max="3" width="6.42578125" style="98" customWidth="1"/>
    <col min="4" max="4" width="13.5703125" style="98" customWidth="1"/>
    <col min="5" max="5" width="13.140625" style="98" customWidth="1"/>
    <col min="6" max="6" width="10" style="99" customWidth="1"/>
    <col min="7" max="7" width="16" style="133" customWidth="1"/>
    <col min="8" max="8" width="11.28515625" style="50" customWidth="1"/>
    <col min="9" max="9" width="29.42578125" style="50" hidden="1" customWidth="1"/>
    <col min="10" max="10" width="12.42578125" style="50" customWidth="1"/>
    <col min="11" max="11" width="8.42578125" style="50" customWidth="1"/>
    <col min="12" max="12" width="11.140625" style="103" customWidth="1"/>
    <col min="13" max="13" width="1.7109375" style="100" customWidth="1"/>
    <col min="14" max="14" width="18.140625" style="50" customWidth="1"/>
    <col min="15" max="15" width="10.85546875" style="50" customWidth="1"/>
    <col min="16" max="16" width="13.42578125" style="50" customWidth="1"/>
  </cols>
  <sheetData>
    <row r="1" spans="2:16" ht="24.75" customHeight="1" thickBot="1" x14ac:dyDescent="0.25">
      <c r="B1" s="1579" t="s">
        <v>580</v>
      </c>
      <c r="C1" s="1420"/>
      <c r="D1" s="1420"/>
      <c r="E1" s="1420"/>
      <c r="F1" s="1420"/>
      <c r="G1" s="1420"/>
      <c r="H1" s="1420"/>
      <c r="I1" s="1420"/>
      <c r="J1" s="1420"/>
      <c r="K1" s="1420"/>
      <c r="L1" s="1420"/>
      <c r="M1" s="1420"/>
      <c r="N1" s="1420"/>
      <c r="O1" s="1420"/>
      <c r="P1" s="1421"/>
    </row>
    <row r="2" spans="2:16" ht="19.5" thickBot="1" x14ac:dyDescent="0.25">
      <c r="B2" s="815"/>
      <c r="C2" s="51"/>
      <c r="D2" s="51"/>
      <c r="E2" s="51"/>
      <c r="F2" s="51"/>
      <c r="G2" s="51"/>
      <c r="H2" s="51"/>
      <c r="I2" s="51"/>
      <c r="J2" s="51"/>
      <c r="K2" s="52"/>
      <c r="L2" s="52"/>
      <c r="M2" s="52"/>
      <c r="N2" s="52"/>
      <c r="O2" s="52"/>
      <c r="P2" s="869"/>
    </row>
    <row r="3" spans="2:16" ht="19.5" thickBot="1" x14ac:dyDescent="0.25">
      <c r="B3" s="1205" t="s">
        <v>234</v>
      </c>
      <c r="C3" s="1206"/>
      <c r="D3" s="1206"/>
      <c r="E3" s="1206"/>
      <c r="F3" s="1206"/>
      <c r="G3" s="1582"/>
      <c r="H3" s="1582"/>
      <c r="I3" s="1582"/>
      <c r="J3" s="1582"/>
      <c r="K3" s="1582"/>
      <c r="L3" s="1582"/>
      <c r="M3" s="1582"/>
      <c r="N3" s="1582"/>
      <c r="O3" s="1582"/>
      <c r="P3" s="1583"/>
    </row>
    <row r="4" spans="2:16" ht="15.75" x14ac:dyDescent="0.2">
      <c r="B4" s="1202" t="s">
        <v>231</v>
      </c>
      <c r="C4" s="1199"/>
      <c r="D4" s="1199"/>
      <c r="E4" s="1203">
        <f>M1</f>
        <v>0</v>
      </c>
      <c r="F4" s="1204"/>
      <c r="G4" s="1378" t="s">
        <v>28</v>
      </c>
      <c r="H4" s="1198"/>
      <c r="I4" s="187"/>
      <c r="J4" s="1584" t="s">
        <v>574</v>
      </c>
      <c r="K4" s="1584"/>
      <c r="L4" s="1584"/>
      <c r="M4" s="1584"/>
      <c r="N4" s="1199" t="s">
        <v>257</v>
      </c>
      <c r="O4" s="1199"/>
      <c r="P4" s="55">
        <v>70</v>
      </c>
    </row>
    <row r="5" spans="2:16" ht="15.75" x14ac:dyDescent="0.2">
      <c r="B5" s="1200" t="s">
        <v>4</v>
      </c>
      <c r="C5" s="1201"/>
      <c r="D5" s="1201"/>
      <c r="E5" s="1221">
        <v>41649</v>
      </c>
      <c r="F5" s="1193"/>
      <c r="G5" s="1371" t="s">
        <v>244</v>
      </c>
      <c r="H5" s="1220"/>
      <c r="I5" s="185"/>
      <c r="J5" s="1580" t="s">
        <v>575</v>
      </c>
      <c r="K5" s="1580"/>
      <c r="L5" s="1580"/>
      <c r="M5" s="1580"/>
      <c r="N5" s="1196" t="s">
        <v>22</v>
      </c>
      <c r="O5" s="1196"/>
      <c r="P5" s="58"/>
    </row>
    <row r="6" spans="2:16" ht="15.75" x14ac:dyDescent="0.2">
      <c r="B6" s="1200" t="s">
        <v>12</v>
      </c>
      <c r="C6" s="1201"/>
      <c r="D6" s="1201"/>
      <c r="E6" s="1221">
        <v>41680</v>
      </c>
      <c r="F6" s="1333"/>
      <c r="G6" s="1371" t="s">
        <v>20</v>
      </c>
      <c r="H6" s="1220"/>
      <c r="I6" s="185"/>
      <c r="J6" s="1580" t="s">
        <v>317</v>
      </c>
      <c r="K6" s="1580"/>
      <c r="L6" s="1580"/>
      <c r="M6" s="1580"/>
      <c r="N6" s="1196" t="s">
        <v>233</v>
      </c>
      <c r="O6" s="1196"/>
      <c r="P6" s="788">
        <f>P4+P5*10</f>
        <v>70</v>
      </c>
    </row>
    <row r="7" spans="2:16" ht="16.5" thickBot="1" x14ac:dyDescent="0.25">
      <c r="B7" s="1200" t="s">
        <v>5</v>
      </c>
      <c r="C7" s="1201"/>
      <c r="D7" s="1201"/>
      <c r="E7" s="1158" t="s">
        <v>576</v>
      </c>
      <c r="F7" s="1193"/>
      <c r="G7" s="1362" t="s">
        <v>21</v>
      </c>
      <c r="H7" s="1173"/>
      <c r="I7" s="186"/>
      <c r="J7" s="1581" t="s">
        <v>3</v>
      </c>
      <c r="K7" s="1581"/>
      <c r="L7" s="1581"/>
      <c r="M7" s="1581"/>
      <c r="N7" s="792"/>
      <c r="O7" s="866"/>
      <c r="P7" s="867"/>
    </row>
    <row r="8" spans="2:16" ht="15.75" customHeight="1" x14ac:dyDescent="0.2">
      <c r="B8" s="1326" t="s">
        <v>54</v>
      </c>
      <c r="C8" s="1327"/>
      <c r="D8" s="1327"/>
      <c r="E8" s="1530">
        <v>1</v>
      </c>
      <c r="F8" s="1531"/>
      <c r="G8" s="1378" t="s">
        <v>253</v>
      </c>
      <c r="H8" s="1198"/>
      <c r="I8" s="187"/>
      <c r="J8" s="1520"/>
      <c r="K8" s="1520"/>
      <c r="L8" s="1520"/>
      <c r="M8" s="1521"/>
      <c r="N8" s="1373" t="s">
        <v>257</v>
      </c>
      <c r="O8" s="1373"/>
      <c r="P8" s="55">
        <v>0</v>
      </c>
    </row>
    <row r="9" spans="2:16" ht="15.75" x14ac:dyDescent="0.2">
      <c r="B9" s="1318" t="s">
        <v>53</v>
      </c>
      <c r="C9" s="1319"/>
      <c r="D9" s="1319"/>
      <c r="E9" s="1189">
        <f>100%-E8</f>
        <v>0</v>
      </c>
      <c r="F9" s="1190"/>
      <c r="G9" s="1371" t="s">
        <v>244</v>
      </c>
      <c r="H9" s="1220"/>
      <c r="I9" s="185"/>
      <c r="J9" s="1518"/>
      <c r="K9" s="1518"/>
      <c r="L9" s="1518"/>
      <c r="M9" s="1519"/>
      <c r="N9" s="1338" t="s">
        <v>22</v>
      </c>
      <c r="O9" s="1338"/>
      <c r="P9" s="58"/>
    </row>
    <row r="10" spans="2:16" ht="31.5" customHeight="1" x14ac:dyDescent="0.2">
      <c r="B10" s="1152" t="s">
        <v>276</v>
      </c>
      <c r="C10" s="1153"/>
      <c r="D10" s="1153"/>
      <c r="E10" s="1533">
        <f>P6+P10</f>
        <v>70</v>
      </c>
      <c r="F10" s="1534"/>
      <c r="G10" s="1371" t="s">
        <v>20</v>
      </c>
      <c r="H10" s="1220"/>
      <c r="I10" s="185"/>
      <c r="J10" s="1518"/>
      <c r="K10" s="1518"/>
      <c r="L10" s="1518"/>
      <c r="M10" s="1519"/>
      <c r="N10" s="1334" t="s">
        <v>233</v>
      </c>
      <c r="O10" s="1334"/>
      <c r="P10" s="212">
        <f>P8+P9*10</f>
        <v>0</v>
      </c>
    </row>
    <row r="11" spans="2:16" ht="19.5" thickBot="1" x14ac:dyDescent="0.25">
      <c r="B11" s="1150" t="s">
        <v>277</v>
      </c>
      <c r="C11" s="1151"/>
      <c r="D11" s="1151"/>
      <c r="E11" s="1146">
        <f>ROUNDUP(E10/10,0)</f>
        <v>7</v>
      </c>
      <c r="F11" s="1147"/>
      <c r="G11" s="1362" t="s">
        <v>21</v>
      </c>
      <c r="H11" s="1173"/>
      <c r="I11" s="186"/>
      <c r="J11" s="1516"/>
      <c r="K11" s="1516"/>
      <c r="L11" s="1516"/>
      <c r="M11" s="1516"/>
      <c r="N11" s="1353" t="s">
        <v>568</v>
      </c>
      <c r="O11" s="1353"/>
      <c r="P11" s="842">
        <f>'Local Penalties'!B8</f>
        <v>7</v>
      </c>
    </row>
    <row r="12" spans="2:16" ht="19.5" thickBot="1" x14ac:dyDescent="0.25">
      <c r="B12" s="870"/>
      <c r="C12" s="871"/>
      <c r="D12" s="818"/>
      <c r="E12" s="818"/>
      <c r="F12" s="818"/>
      <c r="G12" s="66"/>
      <c r="H12" s="59"/>
      <c r="I12" s="60"/>
      <c r="J12" s="61"/>
      <c r="K12" s="61"/>
      <c r="L12" s="61"/>
      <c r="M12" s="61"/>
      <c r="N12" s="813"/>
      <c r="O12" s="813"/>
      <c r="P12" s="819"/>
    </row>
    <row r="13" spans="2:16" ht="19.5" thickBot="1" x14ac:dyDescent="0.25">
      <c r="B13" s="820"/>
      <c r="C13" s="192"/>
      <c r="D13" s="192"/>
      <c r="E13" s="192"/>
      <c r="F13" s="192"/>
      <c r="G13" s="107"/>
      <c r="H13" s="814"/>
      <c r="I13" s="821"/>
      <c r="J13" s="1299" t="s">
        <v>297</v>
      </c>
      <c r="K13" s="1300"/>
      <c r="L13" s="1301"/>
      <c r="M13" s="110"/>
      <c r="N13" s="1305" t="s">
        <v>578</v>
      </c>
      <c r="O13" s="1306"/>
      <c r="P13" s="1307"/>
    </row>
    <row r="14" spans="2:16" ht="57.75" customHeight="1" thickBot="1" x14ac:dyDescent="0.25">
      <c r="B14" s="850">
        <v>0.02</v>
      </c>
      <c r="C14" s="850" t="s">
        <v>58</v>
      </c>
      <c r="D14" s="1160" t="s">
        <v>226</v>
      </c>
      <c r="E14" s="1161"/>
      <c r="F14" s="1161"/>
      <c r="G14" s="1162"/>
      <c r="H14" s="852" t="s">
        <v>249</v>
      </c>
      <c r="I14" s="114" t="s">
        <v>0</v>
      </c>
      <c r="J14" s="1360" t="s">
        <v>298</v>
      </c>
      <c r="K14" s="1287" t="s">
        <v>6</v>
      </c>
      <c r="L14" s="855" t="s">
        <v>299</v>
      </c>
      <c r="M14" s="67"/>
      <c r="N14" s="854" t="s">
        <v>428</v>
      </c>
      <c r="O14" s="1287" t="s">
        <v>6</v>
      </c>
      <c r="P14" s="855" t="s">
        <v>299</v>
      </c>
    </row>
    <row r="15" spans="2:16" ht="16.5" thickBot="1" x14ac:dyDescent="0.25">
      <c r="B15" s="851"/>
      <c r="C15" s="851"/>
      <c r="D15" s="1163"/>
      <c r="E15" s="1164"/>
      <c r="F15" s="1164"/>
      <c r="G15" s="1165"/>
      <c r="H15" s="853"/>
      <c r="I15" s="853"/>
      <c r="J15" s="1361"/>
      <c r="K15" s="1288"/>
      <c r="L15" s="244"/>
      <c r="M15" s="68"/>
      <c r="N15" s="419">
        <f>(N35-N31)/(J35-J31)</f>
        <v>0</v>
      </c>
      <c r="O15" s="1288"/>
      <c r="P15" s="244"/>
    </row>
    <row r="16" spans="2:16" ht="15.75" hidden="1" thickTop="1" x14ac:dyDescent="0.2">
      <c r="B16" s="822" t="s">
        <v>8</v>
      </c>
      <c r="C16" s="195"/>
      <c r="D16" s="1226"/>
      <c r="E16" s="1226"/>
      <c r="F16" s="1226"/>
      <c r="G16" s="1226"/>
      <c r="H16" s="70"/>
      <c r="I16" s="71"/>
      <c r="J16" s="154"/>
      <c r="K16" s="162"/>
      <c r="L16" s="198"/>
      <c r="M16" s="164"/>
      <c r="N16" s="160"/>
      <c r="O16" s="162"/>
      <c r="P16" s="872"/>
    </row>
    <row r="17" spans="2:16" ht="15" hidden="1" x14ac:dyDescent="0.2">
      <c r="B17" s="822" t="s">
        <v>8</v>
      </c>
      <c r="C17" s="262"/>
      <c r="D17" s="1183"/>
      <c r="E17" s="1240"/>
      <c r="F17" s="1240"/>
      <c r="G17" s="1241"/>
      <c r="H17" s="76"/>
      <c r="I17" s="77"/>
      <c r="J17" s="156"/>
      <c r="K17" s="162"/>
      <c r="L17" s="167"/>
      <c r="M17" s="164"/>
      <c r="N17" s="160"/>
      <c r="O17" s="162"/>
      <c r="P17" s="823"/>
    </row>
    <row r="18" spans="2:16" ht="15" hidden="1" x14ac:dyDescent="0.2">
      <c r="B18" s="822" t="s">
        <v>8</v>
      </c>
      <c r="C18" s="262"/>
      <c r="D18" s="1226"/>
      <c r="E18" s="1226"/>
      <c r="F18" s="1226"/>
      <c r="G18" s="1226"/>
      <c r="H18" s="281"/>
      <c r="I18" s="77"/>
      <c r="J18" s="156"/>
      <c r="K18" s="162"/>
      <c r="L18" s="167"/>
      <c r="M18" s="164"/>
      <c r="N18" s="160"/>
      <c r="O18" s="162"/>
      <c r="P18" s="823"/>
    </row>
    <row r="19" spans="2:16" ht="15" x14ac:dyDescent="0.2">
      <c r="B19" s="822" t="s">
        <v>8</v>
      </c>
      <c r="C19" s="1355" t="s">
        <v>241</v>
      </c>
      <c r="D19" s="1172" t="s">
        <v>212</v>
      </c>
      <c r="E19" s="1172"/>
      <c r="F19" s="1172"/>
      <c r="G19" s="1172"/>
      <c r="H19" s="848" t="s">
        <v>32</v>
      </c>
      <c r="I19" s="77" t="s">
        <v>27</v>
      </c>
      <c r="J19" s="155">
        <f>(E10-SUM(J16:J18))*E8</f>
        <v>70</v>
      </c>
      <c r="K19" s="162">
        <f>IF(B19="Y",J19* 2%,0)</f>
        <v>1.4000000000000001</v>
      </c>
      <c r="L19" s="167">
        <f>J19-K19</f>
        <v>68.599999999999994</v>
      </c>
      <c r="M19" s="164"/>
      <c r="N19" s="160">
        <f>IF($N$43=0,,J19*$N$15)</f>
        <v>0</v>
      </c>
      <c r="O19" s="162">
        <f t="shared" ref="O19:O34" si="0">IF(B19="Y", N19*2%,)</f>
        <v>0</v>
      </c>
      <c r="P19" s="823">
        <f t="shared" ref="P19:P40" si="1">N19-O19</f>
        <v>0</v>
      </c>
    </row>
    <row r="20" spans="2:16" ht="15" x14ac:dyDescent="0.2">
      <c r="B20" s="822" t="s">
        <v>8</v>
      </c>
      <c r="C20" s="1356"/>
      <c r="D20" s="1172" t="s">
        <v>213</v>
      </c>
      <c r="E20" s="1172"/>
      <c r="F20" s="1172"/>
      <c r="G20" s="1172"/>
      <c r="H20" s="848" t="s">
        <v>52</v>
      </c>
      <c r="I20" s="77" t="s">
        <v>25</v>
      </c>
      <c r="J20" s="155">
        <f>(E10-SUM(J16:J18))*E9</f>
        <v>0</v>
      </c>
      <c r="K20" s="162">
        <f t="shared" ref="K20:K34" si="2">IF(B20="Y",J20* 2%,0)</f>
        <v>0</v>
      </c>
      <c r="L20" s="167">
        <f t="shared" ref="L20:L33" si="3">J20-K20</f>
        <v>0</v>
      </c>
      <c r="M20" s="164"/>
      <c r="N20" s="160">
        <f t="shared" ref="N20:N30" si="4">IF($N$43=0,,J20*$N$15)</f>
        <v>0</v>
      </c>
      <c r="O20" s="162">
        <f t="shared" si="0"/>
        <v>0</v>
      </c>
      <c r="P20" s="823">
        <f t="shared" si="1"/>
        <v>0</v>
      </c>
    </row>
    <row r="21" spans="2:16" ht="15" x14ac:dyDescent="0.2">
      <c r="B21" s="822" t="s">
        <v>8</v>
      </c>
      <c r="C21" s="75">
        <v>7</v>
      </c>
      <c r="D21" s="1172" t="s">
        <v>214</v>
      </c>
      <c r="E21" s="1172"/>
      <c r="F21" s="1172"/>
      <c r="G21" s="1172"/>
      <c r="H21" s="848" t="s">
        <v>31</v>
      </c>
      <c r="I21" s="77" t="s">
        <v>26</v>
      </c>
      <c r="J21" s="155">
        <f>$E$11*C21</f>
        <v>49</v>
      </c>
      <c r="K21" s="162">
        <f t="shared" si="2"/>
        <v>0.98</v>
      </c>
      <c r="L21" s="167">
        <f t="shared" si="3"/>
        <v>48.02</v>
      </c>
      <c r="M21" s="164"/>
      <c r="N21" s="160">
        <f t="shared" si="4"/>
        <v>0</v>
      </c>
      <c r="O21" s="162">
        <f t="shared" si="0"/>
        <v>0</v>
      </c>
      <c r="P21" s="823">
        <f t="shared" si="1"/>
        <v>0</v>
      </c>
    </row>
    <row r="22" spans="2:16" ht="15" x14ac:dyDescent="0.2">
      <c r="B22" s="822" t="s">
        <v>8</v>
      </c>
      <c r="C22" s="75">
        <v>3</v>
      </c>
      <c r="D22" s="1183" t="s">
        <v>215</v>
      </c>
      <c r="E22" s="1240"/>
      <c r="F22" s="1240"/>
      <c r="G22" s="1241"/>
      <c r="H22" s="848" t="s">
        <v>32</v>
      </c>
      <c r="I22" s="77" t="s">
        <v>27</v>
      </c>
      <c r="J22" s="155">
        <f t="shared" ref="J22:J33" si="5">$E$11*C22</f>
        <v>21</v>
      </c>
      <c r="K22" s="162">
        <f t="shared" si="2"/>
        <v>0.42</v>
      </c>
      <c r="L22" s="167">
        <f t="shared" si="3"/>
        <v>20.58</v>
      </c>
      <c r="M22" s="164"/>
      <c r="N22" s="160">
        <f t="shared" si="4"/>
        <v>0</v>
      </c>
      <c r="O22" s="162">
        <f t="shared" si="0"/>
        <v>0</v>
      </c>
      <c r="P22" s="823">
        <f t="shared" si="1"/>
        <v>0</v>
      </c>
    </row>
    <row r="23" spans="2:16" ht="15" customHeight="1" x14ac:dyDescent="0.2">
      <c r="B23" s="822" t="s">
        <v>8</v>
      </c>
      <c r="C23" s="75">
        <v>1</v>
      </c>
      <c r="D23" s="1183" t="s">
        <v>216</v>
      </c>
      <c r="E23" s="1240"/>
      <c r="F23" s="1240"/>
      <c r="G23" s="1241"/>
      <c r="H23" s="848" t="s">
        <v>32</v>
      </c>
      <c r="I23" s="77" t="s">
        <v>55</v>
      </c>
      <c r="J23" s="155">
        <f t="shared" si="5"/>
        <v>7</v>
      </c>
      <c r="K23" s="162">
        <f t="shared" si="2"/>
        <v>0.14000000000000001</v>
      </c>
      <c r="L23" s="167">
        <f t="shared" si="3"/>
        <v>6.86</v>
      </c>
      <c r="M23" s="164"/>
      <c r="N23" s="160">
        <f t="shared" si="4"/>
        <v>0</v>
      </c>
      <c r="O23" s="162">
        <f t="shared" si="0"/>
        <v>0</v>
      </c>
      <c r="P23" s="823">
        <f t="shared" si="1"/>
        <v>0</v>
      </c>
    </row>
    <row r="24" spans="2:16" ht="15" x14ac:dyDescent="0.2">
      <c r="B24" s="822" t="s">
        <v>8</v>
      </c>
      <c r="C24" s="75">
        <v>4</v>
      </c>
      <c r="D24" s="1183" t="s">
        <v>466</v>
      </c>
      <c r="E24" s="1240"/>
      <c r="F24" s="1240"/>
      <c r="G24" s="1241"/>
      <c r="H24" s="848" t="s">
        <v>31</v>
      </c>
      <c r="I24" s="77" t="s">
        <v>72</v>
      </c>
      <c r="J24" s="155">
        <f t="shared" si="5"/>
        <v>28</v>
      </c>
      <c r="K24" s="162">
        <f t="shared" si="2"/>
        <v>0.56000000000000005</v>
      </c>
      <c r="L24" s="167">
        <f t="shared" si="3"/>
        <v>27.44</v>
      </c>
      <c r="M24" s="164"/>
      <c r="N24" s="160">
        <f t="shared" si="4"/>
        <v>0</v>
      </c>
      <c r="O24" s="162">
        <f t="shared" si="0"/>
        <v>0</v>
      </c>
      <c r="P24" s="823">
        <f t="shared" si="1"/>
        <v>0</v>
      </c>
    </row>
    <row r="25" spans="2:16" ht="18.75" customHeight="1" x14ac:dyDescent="0.2">
      <c r="B25" s="822" t="s">
        <v>8</v>
      </c>
      <c r="C25" s="782">
        <v>2</v>
      </c>
      <c r="D25" s="1172" t="s">
        <v>217</v>
      </c>
      <c r="E25" s="1172"/>
      <c r="F25" s="1279" t="str">
        <f>IF(SUM(C25:C29)=P11,"GC 76000 PA ($" &amp;P11 &amp; " for every 10) breakdown per local board of supervisor resolution (BOS).","ERROR! GC 76000 PA total is not $" &amp;P11&amp; ". Check Court's board resolution.")</f>
        <v>GC 76000 PA ($7 for every 10) breakdown per local board of supervisor resolution (BOS).</v>
      </c>
      <c r="G25" s="1280"/>
      <c r="H25" s="848" t="s">
        <v>32</v>
      </c>
      <c r="I25" s="77" t="s">
        <v>64</v>
      </c>
      <c r="J25" s="155">
        <f t="shared" si="5"/>
        <v>14</v>
      </c>
      <c r="K25" s="162">
        <f t="shared" si="2"/>
        <v>0.28000000000000003</v>
      </c>
      <c r="L25" s="167">
        <f t="shared" si="3"/>
        <v>13.72</v>
      </c>
      <c r="M25" s="164"/>
      <c r="N25" s="160">
        <f t="shared" si="4"/>
        <v>0</v>
      </c>
      <c r="O25" s="162">
        <f t="shared" si="0"/>
        <v>0</v>
      </c>
      <c r="P25" s="823">
        <f t="shared" si="1"/>
        <v>0</v>
      </c>
    </row>
    <row r="26" spans="2:16" ht="15.75" customHeight="1" x14ac:dyDescent="0.2">
      <c r="B26" s="822" t="s">
        <v>8</v>
      </c>
      <c r="C26" s="782">
        <v>2</v>
      </c>
      <c r="D26" s="1172" t="s">
        <v>218</v>
      </c>
      <c r="E26" s="1172"/>
      <c r="F26" s="1281"/>
      <c r="G26" s="1282"/>
      <c r="H26" s="848" t="s">
        <v>32</v>
      </c>
      <c r="I26" s="77" t="s">
        <v>35</v>
      </c>
      <c r="J26" s="155">
        <f t="shared" si="5"/>
        <v>14</v>
      </c>
      <c r="K26" s="162">
        <f t="shared" si="2"/>
        <v>0.28000000000000003</v>
      </c>
      <c r="L26" s="167">
        <f t="shared" si="3"/>
        <v>13.72</v>
      </c>
      <c r="M26" s="164"/>
      <c r="N26" s="160">
        <f t="shared" si="4"/>
        <v>0</v>
      </c>
      <c r="O26" s="162">
        <f t="shared" si="0"/>
        <v>0</v>
      </c>
      <c r="P26" s="823">
        <f t="shared" si="1"/>
        <v>0</v>
      </c>
    </row>
    <row r="27" spans="2:16" ht="15.75" customHeight="1" x14ac:dyDescent="0.2">
      <c r="B27" s="822" t="s">
        <v>8</v>
      </c>
      <c r="C27" s="782">
        <v>2</v>
      </c>
      <c r="D27" s="1172" t="s">
        <v>219</v>
      </c>
      <c r="E27" s="1172"/>
      <c r="F27" s="1281"/>
      <c r="G27" s="1282"/>
      <c r="H27" s="848" t="s">
        <v>32</v>
      </c>
      <c r="I27" s="77" t="s">
        <v>65</v>
      </c>
      <c r="J27" s="155">
        <f t="shared" si="5"/>
        <v>14</v>
      </c>
      <c r="K27" s="162">
        <f t="shared" si="2"/>
        <v>0.28000000000000003</v>
      </c>
      <c r="L27" s="167">
        <f t="shared" si="3"/>
        <v>13.72</v>
      </c>
      <c r="M27" s="164"/>
      <c r="N27" s="160">
        <f t="shared" si="4"/>
        <v>0</v>
      </c>
      <c r="O27" s="162">
        <f t="shared" si="0"/>
        <v>0</v>
      </c>
      <c r="P27" s="823">
        <f t="shared" si="1"/>
        <v>0</v>
      </c>
    </row>
    <row r="28" spans="2:16" ht="18.75" customHeight="1" x14ac:dyDescent="0.2">
      <c r="B28" s="822" t="s">
        <v>8</v>
      </c>
      <c r="C28" s="782">
        <v>1</v>
      </c>
      <c r="D28" s="1172" t="s">
        <v>401</v>
      </c>
      <c r="E28" s="1172"/>
      <c r="F28" s="1281"/>
      <c r="G28" s="1282"/>
      <c r="H28" s="848" t="s">
        <v>32</v>
      </c>
      <c r="I28" s="77" t="s">
        <v>65</v>
      </c>
      <c r="J28" s="155">
        <f>$E$11*C28</f>
        <v>7</v>
      </c>
      <c r="K28" s="162">
        <f>IF(B28="Y",J28* 2%,0)</f>
        <v>0.14000000000000001</v>
      </c>
      <c r="L28" s="167">
        <f>J28-K28</f>
        <v>6.86</v>
      </c>
      <c r="M28" s="164"/>
      <c r="N28" s="160">
        <f t="shared" si="4"/>
        <v>0</v>
      </c>
      <c r="O28" s="162">
        <f t="shared" si="0"/>
        <v>0</v>
      </c>
      <c r="P28" s="823">
        <f>N28-O28</f>
        <v>0</v>
      </c>
    </row>
    <row r="29" spans="2:16" ht="15" x14ac:dyDescent="0.2">
      <c r="B29" s="822" t="s">
        <v>8</v>
      </c>
      <c r="C29" s="782">
        <f>'[2]Local Penalties'!B13</f>
        <v>0</v>
      </c>
      <c r="D29" s="1172" t="s">
        <v>254</v>
      </c>
      <c r="E29" s="1172"/>
      <c r="F29" s="1283"/>
      <c r="G29" s="1284"/>
      <c r="H29" s="848" t="s">
        <v>32</v>
      </c>
      <c r="I29" s="77"/>
      <c r="J29" s="155">
        <f t="shared" si="5"/>
        <v>0</v>
      </c>
      <c r="K29" s="162">
        <f t="shared" si="2"/>
        <v>0</v>
      </c>
      <c r="L29" s="167">
        <f t="shared" si="3"/>
        <v>0</v>
      </c>
      <c r="M29" s="164"/>
      <c r="N29" s="160">
        <f t="shared" si="4"/>
        <v>0</v>
      </c>
      <c r="O29" s="162">
        <f t="shared" si="0"/>
        <v>0</v>
      </c>
      <c r="P29" s="823">
        <f t="shared" si="1"/>
        <v>0</v>
      </c>
    </row>
    <row r="30" spans="2:16" ht="15" x14ac:dyDescent="0.2">
      <c r="B30" s="822" t="s">
        <v>8</v>
      </c>
      <c r="C30" s="782">
        <v>2</v>
      </c>
      <c r="D30" s="1154" t="s">
        <v>286</v>
      </c>
      <c r="E30" s="1155"/>
      <c r="F30" s="1155"/>
      <c r="G30" s="1232"/>
      <c r="H30" s="856" t="s">
        <v>32</v>
      </c>
      <c r="I30" s="84" t="s">
        <v>36</v>
      </c>
      <c r="J30" s="155">
        <f t="shared" si="5"/>
        <v>14</v>
      </c>
      <c r="K30" s="162">
        <f t="shared" si="2"/>
        <v>0.28000000000000003</v>
      </c>
      <c r="L30" s="167">
        <f t="shared" si="3"/>
        <v>13.72</v>
      </c>
      <c r="M30" s="164"/>
      <c r="N30" s="160">
        <f t="shared" si="4"/>
        <v>0</v>
      </c>
      <c r="O30" s="162">
        <f t="shared" si="0"/>
        <v>0</v>
      </c>
      <c r="P30" s="823">
        <f t="shared" si="1"/>
        <v>0</v>
      </c>
    </row>
    <row r="31" spans="2:16" ht="15" x14ac:dyDescent="0.2">
      <c r="B31" s="822" t="s">
        <v>8</v>
      </c>
      <c r="C31" s="75"/>
      <c r="D31" s="1154" t="s">
        <v>385</v>
      </c>
      <c r="E31" s="1155"/>
      <c r="F31" s="1155"/>
      <c r="G31" s="1232"/>
      <c r="H31" s="856" t="s">
        <v>31</v>
      </c>
      <c r="I31" s="91" t="s">
        <v>39</v>
      </c>
      <c r="J31" s="204">
        <v>4</v>
      </c>
      <c r="K31" s="162">
        <f>IF(B31="Y", J31*2%,0)</f>
        <v>0.08</v>
      </c>
      <c r="L31" s="167">
        <f>J31-K31</f>
        <v>3.92</v>
      </c>
      <c r="M31" s="164"/>
      <c r="N31" s="155">
        <f>IF($N$43=0,,J31)</f>
        <v>0</v>
      </c>
      <c r="O31" s="162">
        <f t="shared" si="0"/>
        <v>0</v>
      </c>
      <c r="P31" s="823">
        <f>N31-O31</f>
        <v>0</v>
      </c>
    </row>
    <row r="32" spans="2:16" ht="30" x14ac:dyDescent="0.2">
      <c r="B32" s="822" t="s">
        <v>8</v>
      </c>
      <c r="C32" s="782">
        <v>2</v>
      </c>
      <c r="D32" s="1154" t="s">
        <v>555</v>
      </c>
      <c r="E32" s="1155"/>
      <c r="F32" s="1232"/>
      <c r="G32" s="1088" t="s">
        <v>281</v>
      </c>
      <c r="H32" s="856" t="s">
        <v>31</v>
      </c>
      <c r="I32" s="84" t="s">
        <v>37</v>
      </c>
      <c r="J32" s="155">
        <f t="shared" si="5"/>
        <v>14</v>
      </c>
      <c r="K32" s="162">
        <f t="shared" si="2"/>
        <v>0.28000000000000003</v>
      </c>
      <c r="L32" s="167">
        <f t="shared" si="3"/>
        <v>13.72</v>
      </c>
      <c r="M32" s="164"/>
      <c r="N32" s="160">
        <f>IF($N$43=0,,J32*$N$15)</f>
        <v>0</v>
      </c>
      <c r="O32" s="162">
        <f t="shared" si="0"/>
        <v>0</v>
      </c>
      <c r="P32" s="823">
        <f t="shared" si="1"/>
        <v>0</v>
      </c>
    </row>
    <row r="33" spans="2:16" ht="15" x14ac:dyDescent="0.2">
      <c r="B33" s="822" t="s">
        <v>8</v>
      </c>
      <c r="C33" s="179">
        <f>5-C32</f>
        <v>3</v>
      </c>
      <c r="D33" s="1154" t="s">
        <v>556</v>
      </c>
      <c r="E33" s="1155"/>
      <c r="F33" s="1232"/>
      <c r="G33" s="1089"/>
      <c r="H33" s="856" t="s">
        <v>31</v>
      </c>
      <c r="I33" s="84" t="s">
        <v>197</v>
      </c>
      <c r="J33" s="155">
        <f t="shared" si="5"/>
        <v>21</v>
      </c>
      <c r="K33" s="162">
        <f t="shared" si="2"/>
        <v>0.42</v>
      </c>
      <c r="L33" s="167">
        <f t="shared" si="3"/>
        <v>20.58</v>
      </c>
      <c r="M33" s="164"/>
      <c r="N33" s="160">
        <f>IF($N$43=0,,J33*$N$15)</f>
        <v>0</v>
      </c>
      <c r="O33" s="162">
        <f t="shared" si="0"/>
        <v>0</v>
      </c>
      <c r="P33" s="823">
        <f t="shared" si="1"/>
        <v>0</v>
      </c>
    </row>
    <row r="34" spans="2:16" ht="15" x14ac:dyDescent="0.2">
      <c r="B34" s="822" t="s">
        <v>7</v>
      </c>
      <c r="C34" s="75"/>
      <c r="D34" s="1154" t="s">
        <v>220</v>
      </c>
      <c r="E34" s="1155"/>
      <c r="F34" s="1155"/>
      <c r="G34" s="1232"/>
      <c r="H34" s="856" t="s">
        <v>31</v>
      </c>
      <c r="I34" s="84" t="s">
        <v>10</v>
      </c>
      <c r="J34" s="155">
        <f>$E$10*20%</f>
        <v>14</v>
      </c>
      <c r="K34" s="162">
        <f t="shared" si="2"/>
        <v>0</v>
      </c>
      <c r="L34" s="167">
        <f>J34-K34</f>
        <v>14</v>
      </c>
      <c r="M34" s="164"/>
      <c r="N34" s="160">
        <f>IF($N$43=0,,J34*$N$15)</f>
        <v>0</v>
      </c>
      <c r="O34" s="162">
        <f t="shared" si="0"/>
        <v>0</v>
      </c>
      <c r="P34" s="823">
        <f t="shared" si="1"/>
        <v>0</v>
      </c>
    </row>
    <row r="35" spans="2:16" ht="15" x14ac:dyDescent="0.2">
      <c r="B35" s="822"/>
      <c r="C35" s="86"/>
      <c r="D35" s="1229" t="s">
        <v>221</v>
      </c>
      <c r="E35" s="1230"/>
      <c r="F35" s="1230"/>
      <c r="G35" s="1231"/>
      <c r="H35" s="703"/>
      <c r="I35" s="88"/>
      <c r="J35" s="157">
        <f>SUM(J16:J34)</f>
        <v>291</v>
      </c>
      <c r="K35" s="162"/>
      <c r="L35" s="168">
        <f>SUM(L16:L34)</f>
        <v>285.45999999999998</v>
      </c>
      <c r="M35" s="165"/>
      <c r="N35" s="157">
        <f>IF($N$43=0,,N43-SUM(N36:N40))</f>
        <v>0</v>
      </c>
      <c r="O35" s="162"/>
      <c r="P35" s="824">
        <f>SUM(P16:P34)</f>
        <v>0</v>
      </c>
    </row>
    <row r="36" spans="2:16" ht="15" x14ac:dyDescent="0.2">
      <c r="B36" s="822" t="s">
        <v>7</v>
      </c>
      <c r="C36" s="75"/>
      <c r="D36" s="1154" t="s">
        <v>419</v>
      </c>
      <c r="E36" s="1155"/>
      <c r="F36" s="1155"/>
      <c r="G36" s="1232"/>
      <c r="H36" s="856" t="s">
        <v>31</v>
      </c>
      <c r="I36" s="91"/>
      <c r="J36" s="204">
        <v>40</v>
      </c>
      <c r="K36" s="162">
        <f>IF(B36="Y", J36*2%,0)</f>
        <v>0</v>
      </c>
      <c r="L36" s="167">
        <f>J36-K36</f>
        <v>40</v>
      </c>
      <c r="M36" s="164"/>
      <c r="N36" s="155">
        <f>IF($N$43=0,,J36)</f>
        <v>0</v>
      </c>
      <c r="O36" s="162">
        <f>IF(B36="Y", N36*2%,)</f>
        <v>0</v>
      </c>
      <c r="P36" s="823">
        <f t="shared" ref="P36" si="6">N36-O36</f>
        <v>0</v>
      </c>
    </row>
    <row r="37" spans="2:16" ht="15" x14ac:dyDescent="0.2">
      <c r="B37" s="822" t="s">
        <v>7</v>
      </c>
      <c r="C37" s="75"/>
      <c r="D37" s="1233" t="s">
        <v>259</v>
      </c>
      <c r="E37" s="1234"/>
      <c r="F37" s="1234"/>
      <c r="G37" s="1235"/>
      <c r="H37" s="704" t="s">
        <v>31</v>
      </c>
      <c r="I37" s="92" t="s">
        <v>197</v>
      </c>
      <c r="J37" s="204">
        <v>35</v>
      </c>
      <c r="K37" s="162">
        <f t="shared" ref="K37:K40" si="7">IF(B37="Y", J37*2%,0)</f>
        <v>0</v>
      </c>
      <c r="L37" s="167">
        <f t="shared" ref="L37:L40" si="8">J37-K37</f>
        <v>35</v>
      </c>
      <c r="M37" s="164"/>
      <c r="N37" s="155">
        <f>IF($N$43=0,,J37)</f>
        <v>0</v>
      </c>
      <c r="O37" s="162">
        <f>IF(B37="Y", N37*2%,)</f>
        <v>0</v>
      </c>
      <c r="P37" s="823">
        <f t="shared" si="1"/>
        <v>0</v>
      </c>
    </row>
    <row r="38" spans="2:16" ht="15" x14ac:dyDescent="0.2">
      <c r="B38" s="822" t="s">
        <v>7</v>
      </c>
      <c r="C38" s="94"/>
      <c r="D38" s="1233" t="s">
        <v>421</v>
      </c>
      <c r="E38" s="1234"/>
      <c r="F38" s="1234"/>
      <c r="G38" s="1235"/>
      <c r="H38" s="704" t="s">
        <v>230</v>
      </c>
      <c r="I38" s="92" t="s">
        <v>24</v>
      </c>
      <c r="J38" s="204">
        <v>0</v>
      </c>
      <c r="K38" s="162">
        <f t="shared" si="7"/>
        <v>0</v>
      </c>
      <c r="L38" s="167">
        <f t="shared" si="8"/>
        <v>0</v>
      </c>
      <c r="M38" s="164"/>
      <c r="N38" s="155">
        <f>IF($N$43=0,,J38)</f>
        <v>0</v>
      </c>
      <c r="O38" s="162">
        <f>IF(B38="Y", N38*2%,)</f>
        <v>0</v>
      </c>
      <c r="P38" s="823">
        <f t="shared" si="1"/>
        <v>0</v>
      </c>
    </row>
    <row r="39" spans="2:16" ht="15" x14ac:dyDescent="0.2">
      <c r="B39" s="822" t="s">
        <v>7</v>
      </c>
      <c r="C39" s="94"/>
      <c r="D39" s="1154" t="s">
        <v>577</v>
      </c>
      <c r="E39" s="1234"/>
      <c r="F39" s="1234"/>
      <c r="G39" s="1235"/>
      <c r="H39" s="704" t="s">
        <v>230</v>
      </c>
      <c r="I39" s="92" t="s">
        <v>82</v>
      </c>
      <c r="J39" s="204">
        <v>0</v>
      </c>
      <c r="K39" s="162">
        <f t="shared" si="7"/>
        <v>0</v>
      </c>
      <c r="L39" s="167">
        <f t="shared" si="8"/>
        <v>0</v>
      </c>
      <c r="M39" s="164"/>
      <c r="N39" s="155">
        <f>IF($N$43=0,,J39)</f>
        <v>0</v>
      </c>
      <c r="O39" s="162">
        <f>IF(B39="Y", N39*2%,)</f>
        <v>0</v>
      </c>
      <c r="P39" s="823">
        <f t="shared" si="1"/>
        <v>0</v>
      </c>
    </row>
    <row r="40" spans="2:16" ht="15" x14ac:dyDescent="0.2">
      <c r="B40" s="822" t="s">
        <v>7</v>
      </c>
      <c r="C40" s="94"/>
      <c r="D40" s="1233" t="s">
        <v>225</v>
      </c>
      <c r="E40" s="1234"/>
      <c r="F40" s="1234"/>
      <c r="G40" s="1235"/>
      <c r="H40" s="704" t="s">
        <v>31</v>
      </c>
      <c r="I40" s="92" t="s">
        <v>80</v>
      </c>
      <c r="J40" s="204">
        <v>1</v>
      </c>
      <c r="K40" s="162">
        <f t="shared" si="7"/>
        <v>0</v>
      </c>
      <c r="L40" s="167">
        <f t="shared" si="8"/>
        <v>1</v>
      </c>
      <c r="M40" s="164"/>
      <c r="N40" s="155">
        <f>IF($N$43=0,,J40)</f>
        <v>0</v>
      </c>
      <c r="O40" s="162">
        <f>IF(B40="Y", N40*2%,)</f>
        <v>0</v>
      </c>
      <c r="P40" s="823">
        <f t="shared" si="1"/>
        <v>0</v>
      </c>
    </row>
    <row r="41" spans="2:16" ht="15" x14ac:dyDescent="0.2">
      <c r="B41" s="873" t="s">
        <v>7</v>
      </c>
      <c r="C41" s="94"/>
      <c r="D41" s="1183" t="s">
        <v>492</v>
      </c>
      <c r="E41" s="1240"/>
      <c r="F41" s="1240"/>
      <c r="G41" s="1241"/>
      <c r="H41" s="705" t="s">
        <v>31</v>
      </c>
      <c r="I41" s="96" t="s">
        <v>41</v>
      </c>
      <c r="J41" s="97"/>
      <c r="K41" s="163"/>
      <c r="L41" s="169">
        <f>K42</f>
        <v>5.5400000000000009</v>
      </c>
      <c r="M41" s="164"/>
      <c r="N41" s="104"/>
      <c r="O41" s="163"/>
      <c r="P41" s="825">
        <f>O42</f>
        <v>0</v>
      </c>
    </row>
    <row r="42" spans="2:16" ht="15" x14ac:dyDescent="0.2">
      <c r="B42" s="874"/>
      <c r="C42" s="827"/>
      <c r="D42" s="827"/>
      <c r="E42" s="827"/>
      <c r="F42" s="828"/>
      <c r="G42" s="828"/>
      <c r="H42" s="127"/>
      <c r="I42" s="127"/>
      <c r="J42" s="127"/>
      <c r="K42" s="829">
        <f>SUM(K16:K41)</f>
        <v>5.5400000000000009</v>
      </c>
      <c r="L42" s="170"/>
      <c r="M42" s="127"/>
      <c r="N42" s="127"/>
      <c r="O42" s="829">
        <f>SUM(O16:O41)</f>
        <v>0</v>
      </c>
      <c r="P42" s="830"/>
    </row>
    <row r="43" spans="2:16" ht="16.5" thickBot="1" x14ac:dyDescent="0.25">
      <c r="B43" s="875"/>
      <c r="C43" s="833"/>
      <c r="D43" s="833"/>
      <c r="E43" s="833"/>
      <c r="F43" s="834"/>
      <c r="G43" s="849" t="s">
        <v>81</v>
      </c>
      <c r="H43" s="835"/>
      <c r="I43" s="836" t="s">
        <v>1</v>
      </c>
      <c r="J43" s="837">
        <f>SUM(J35:J42)</f>
        <v>367</v>
      </c>
      <c r="K43" s="838"/>
      <c r="L43" s="839">
        <f>SUM(L35:L42)</f>
        <v>367</v>
      </c>
      <c r="M43" s="840"/>
      <c r="N43" s="876"/>
      <c r="O43" s="838"/>
      <c r="P43" s="877">
        <f>SUM(P35:P42)</f>
        <v>0</v>
      </c>
    </row>
  </sheetData>
  <mergeCells count="76">
    <mergeCell ref="B3:P3"/>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18:G18"/>
    <mergeCell ref="C19:C20"/>
    <mergeCell ref="D19:G19"/>
    <mergeCell ref="D20:G20"/>
    <mergeCell ref="D21:G21"/>
    <mergeCell ref="D26:E26"/>
    <mergeCell ref="D27:E27"/>
    <mergeCell ref="D28:E28"/>
    <mergeCell ref="D29:E29"/>
    <mergeCell ref="D22:G22"/>
    <mergeCell ref="D23:G23"/>
    <mergeCell ref="D24:G24"/>
    <mergeCell ref="B1:P1"/>
    <mergeCell ref="D41:G41"/>
    <mergeCell ref="D38:G38"/>
    <mergeCell ref="D39:G39"/>
    <mergeCell ref="D40:G40"/>
    <mergeCell ref="D34:G34"/>
    <mergeCell ref="D35:G35"/>
    <mergeCell ref="D36:G36"/>
    <mergeCell ref="D37:G37"/>
    <mergeCell ref="D30:G30"/>
    <mergeCell ref="D31:G31"/>
    <mergeCell ref="D32:F32"/>
    <mergeCell ref="G32:G33"/>
    <mergeCell ref="D33:F33"/>
    <mergeCell ref="D25:E25"/>
    <mergeCell ref="F25:G29"/>
  </mergeCells>
  <conditionalFormatting sqref="N16:P41">
    <cfRule type="cellIs" dxfId="79" priority="8" stopIfTrue="1" operator="equal">
      <formula>0</formula>
    </cfRule>
  </conditionalFormatting>
  <conditionalFormatting sqref="J16:J18">
    <cfRule type="cellIs" dxfId="78" priority="6" stopIfTrue="1" operator="equal">
      <formula>0</formula>
    </cfRule>
  </conditionalFormatting>
  <conditionalFormatting sqref="F25">
    <cfRule type="cellIs" dxfId="77" priority="5" operator="notEqual">
      <formula>"GC 76000 PA ($7 for every 10) breakdown per local board of supervisor resolution (BOS)."</formula>
    </cfRule>
  </conditionalFormatting>
  <conditionalFormatting sqref="K36:L41 K31:L31 J18:L30 J32:L35">
    <cfRule type="cellIs" dxfId="76" priority="3" operator="equal">
      <formula>0</formula>
    </cfRule>
  </conditionalFormatting>
  <conditionalFormatting sqref="F25">
    <cfRule type="cellIs" dxfId="75" priority="1" operator="notEqual">
      <formula>"GC 76000 PA ($" &amp;P11 &amp;" for every 10) breakdown per local board of supervisor resolution (BOS)."</formula>
    </cfRule>
  </conditionalFormatting>
  <pageMargins left="0.7" right="0.7" top="0.75" bottom="0.75" header="0.3" footer="0.3"/>
  <pageSetup scale="36" orientation="portrait" r:id="rId1"/>
  <ignoredErrors>
    <ignoredError sqref="N31 K31 P35 L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4482" r:id="rId4" name="Button 2">
              <controlPr defaultSize="0" print="0" autoFill="0" autoPict="0" macro="[5]!mcrDisableTwoPercentUnprotect">
                <anchor moveWithCells="1">
                  <from>
                    <xdr:col>1</xdr:col>
                    <xdr:colOff>9525</xdr:colOff>
                    <xdr:row>13</xdr:row>
                    <xdr:rowOff>523875</xdr:rowOff>
                  </from>
                  <to>
                    <xdr:col>1</xdr:col>
                    <xdr:colOff>266700</xdr:colOff>
                    <xdr:row>18</xdr:row>
                    <xdr:rowOff>0</xdr:rowOff>
                  </to>
                </anchor>
              </controlPr>
            </control>
          </mc:Choice>
        </mc:AlternateContent>
        <mc:AlternateContent xmlns:mc="http://schemas.openxmlformats.org/markup-compatibility/2006">
          <mc:Choice Requires="x14">
            <control shapeId="404483" r:id="rId5" name="Button 3">
              <controlPr defaultSize="0" print="0" autoFill="0" autoPict="0" macro="[5]!mcrEnableTwoPercentUnprotect">
                <anchor moveWithCells="1">
                  <from>
                    <xdr:col>1</xdr:col>
                    <xdr:colOff>0</xdr:colOff>
                    <xdr:row>13</xdr:row>
                    <xdr:rowOff>219075</xdr:rowOff>
                  </from>
                  <to>
                    <xdr:col>1</xdr:col>
                    <xdr:colOff>266700</xdr:colOff>
                    <xdr:row>18</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43"/>
  <sheetViews>
    <sheetView topLeftCell="A4" zoomScale="80" zoomScaleNormal="80" workbookViewId="0">
      <selection activeCell="R22" sqref="R22"/>
    </sheetView>
  </sheetViews>
  <sheetFormatPr defaultRowHeight="18.75" x14ac:dyDescent="0.2"/>
  <cols>
    <col min="1" max="1" width="4.140625" customWidth="1"/>
    <col min="2" max="2" width="4.28515625" style="98" customWidth="1"/>
    <col min="3" max="3" width="8.28515625" style="98" customWidth="1"/>
    <col min="4" max="4" width="13.5703125" style="98" customWidth="1"/>
    <col min="5" max="5" width="13.140625" style="98" customWidth="1"/>
    <col min="6" max="6" width="10" style="99" customWidth="1"/>
    <col min="7" max="7" width="16" style="133" customWidth="1"/>
    <col min="8" max="8" width="13" style="50" customWidth="1"/>
    <col min="9" max="9" width="29.42578125" style="50" hidden="1" customWidth="1"/>
    <col min="10" max="10" width="12.28515625" style="50" customWidth="1"/>
    <col min="11" max="11" width="7.85546875" style="50" customWidth="1"/>
    <col min="12" max="12" width="16" style="103" customWidth="1"/>
    <col min="13" max="13" width="1.7109375" style="100" customWidth="1"/>
    <col min="14" max="14" width="15" style="50" customWidth="1"/>
    <col min="15" max="15" width="12" style="50" customWidth="1"/>
    <col min="16" max="16" width="11" style="50" customWidth="1"/>
    <col min="17" max="17" width="11.7109375" style="100" customWidth="1"/>
    <col min="18" max="18" width="6.28515625" style="101" customWidth="1"/>
    <col min="19" max="19" width="17.140625" style="102" customWidth="1"/>
    <col min="20" max="20" width="2.140625" style="54" customWidth="1"/>
    <col min="21" max="21" width="11.28515625" style="54" customWidth="1"/>
    <col min="22" max="22" width="11.140625" style="54" customWidth="1"/>
    <col min="23" max="23" width="11.28515625" style="54" bestFit="1" customWidth="1"/>
    <col min="24" max="24" width="9.140625" style="54"/>
    <col min="25" max="26" width="9.140625" style="50"/>
  </cols>
  <sheetData>
    <row r="1" spans="2:26" ht="21.75" thickBot="1" x14ac:dyDescent="0.25">
      <c r="B1" s="1579" t="s">
        <v>579</v>
      </c>
      <c r="C1" s="1420"/>
      <c r="D1" s="1420"/>
      <c r="E1" s="1420"/>
      <c r="F1" s="1420"/>
      <c r="G1" s="1420"/>
      <c r="H1" s="1420"/>
      <c r="I1" s="1420"/>
      <c r="J1" s="1420"/>
      <c r="K1" s="1420"/>
      <c r="L1" s="1420"/>
      <c r="M1" s="1420"/>
      <c r="N1" s="1420"/>
      <c r="O1" s="1420"/>
      <c r="P1" s="1421"/>
      <c r="Q1" s="878"/>
      <c r="R1" s="143"/>
      <c r="S1" s="868"/>
    </row>
    <row r="2" spans="2:26" ht="19.5" thickBot="1" x14ac:dyDescent="0.25">
      <c r="B2" s="815"/>
      <c r="C2" s="51"/>
      <c r="D2" s="51"/>
      <c r="E2" s="51"/>
      <c r="F2" s="51"/>
      <c r="G2" s="51"/>
      <c r="H2" s="51"/>
      <c r="I2" s="51"/>
      <c r="J2" s="51"/>
      <c r="K2" s="52"/>
      <c r="L2" s="52"/>
      <c r="M2" s="52"/>
      <c r="N2" s="52"/>
      <c r="O2" s="52"/>
      <c r="P2" s="869"/>
      <c r="Q2" s="52"/>
      <c r="R2" s="52"/>
      <c r="S2" s="52"/>
      <c r="Y2" s="54"/>
      <c r="Z2" s="54"/>
    </row>
    <row r="3" spans="2:26" ht="19.5" thickBot="1" x14ac:dyDescent="0.25">
      <c r="B3" s="1205" t="s">
        <v>234</v>
      </c>
      <c r="C3" s="1206"/>
      <c r="D3" s="1206"/>
      <c r="E3" s="1206"/>
      <c r="F3" s="1206"/>
      <c r="G3" s="1206"/>
      <c r="H3" s="1206"/>
      <c r="I3" s="1206"/>
      <c r="J3" s="1206"/>
      <c r="K3" s="1206"/>
      <c r="L3" s="1206"/>
      <c r="M3" s="1206"/>
      <c r="N3" s="1206"/>
      <c r="O3" s="1206"/>
      <c r="P3" s="1207"/>
      <c r="Q3" s="237"/>
      <c r="R3"/>
      <c r="S3"/>
      <c r="T3"/>
      <c r="U3"/>
      <c r="V3"/>
      <c r="W3"/>
      <c r="X3"/>
      <c r="Y3"/>
      <c r="Z3"/>
    </row>
    <row r="4" spans="2:26" ht="15.75" x14ac:dyDescent="0.2">
      <c r="B4" s="1202" t="s">
        <v>231</v>
      </c>
      <c r="C4" s="1199"/>
      <c r="D4" s="1199"/>
      <c r="E4" s="1203"/>
      <c r="F4" s="1204"/>
      <c r="G4" s="1378" t="s">
        <v>28</v>
      </c>
      <c r="H4" s="1198"/>
      <c r="I4" s="187"/>
      <c r="J4" s="1520" t="s">
        <v>574</v>
      </c>
      <c r="K4" s="1520"/>
      <c r="L4" s="1520"/>
      <c r="M4" s="1521"/>
      <c r="N4" s="1348" t="s">
        <v>257</v>
      </c>
      <c r="O4" s="1348"/>
      <c r="P4" s="209">
        <v>70</v>
      </c>
      <c r="Q4" s="238"/>
      <c r="R4"/>
      <c r="S4"/>
      <c r="T4"/>
      <c r="U4"/>
      <c r="V4"/>
      <c r="W4"/>
      <c r="X4"/>
      <c r="Y4"/>
      <c r="Z4"/>
    </row>
    <row r="5" spans="2:26" ht="15.75" x14ac:dyDescent="0.2">
      <c r="B5" s="1200" t="s">
        <v>4</v>
      </c>
      <c r="C5" s="1201"/>
      <c r="D5" s="1201"/>
      <c r="E5" s="1221">
        <v>41649</v>
      </c>
      <c r="F5" s="1193"/>
      <c r="G5" s="1371" t="s">
        <v>244</v>
      </c>
      <c r="H5" s="1220"/>
      <c r="I5" s="185"/>
      <c r="J5" s="1518" t="s">
        <v>575</v>
      </c>
      <c r="K5" s="1518"/>
      <c r="L5" s="1518"/>
      <c r="M5" s="1519"/>
      <c r="N5" s="1338" t="s">
        <v>22</v>
      </c>
      <c r="O5" s="1338"/>
      <c r="P5" s="58"/>
      <c r="Q5" s="238"/>
      <c r="R5"/>
      <c r="S5"/>
      <c r="T5"/>
      <c r="U5"/>
      <c r="V5"/>
      <c r="W5"/>
      <c r="X5"/>
      <c r="Y5"/>
      <c r="Z5"/>
    </row>
    <row r="6" spans="2:26" ht="16.5" thickBot="1" x14ac:dyDescent="0.25">
      <c r="B6" s="1200" t="s">
        <v>12</v>
      </c>
      <c r="C6" s="1201"/>
      <c r="D6" s="1201"/>
      <c r="E6" s="1221">
        <v>41680</v>
      </c>
      <c r="F6" s="1333"/>
      <c r="G6" s="1371" t="s">
        <v>20</v>
      </c>
      <c r="H6" s="1220"/>
      <c r="I6" s="185"/>
      <c r="J6" s="1518" t="s">
        <v>317</v>
      </c>
      <c r="K6" s="1518"/>
      <c r="L6" s="1518"/>
      <c r="M6" s="1519"/>
      <c r="N6" s="1334" t="s">
        <v>233</v>
      </c>
      <c r="O6" s="1334"/>
      <c r="P6" s="212">
        <f>P4+P5*10</f>
        <v>70</v>
      </c>
      <c r="Q6" s="238"/>
      <c r="R6"/>
      <c r="S6"/>
      <c r="T6"/>
      <c r="U6"/>
      <c r="V6"/>
      <c r="W6"/>
      <c r="X6"/>
      <c r="Y6"/>
      <c r="Z6"/>
    </row>
    <row r="7" spans="2:26" ht="16.5" thickBot="1" x14ac:dyDescent="0.25">
      <c r="B7" s="1200" t="s">
        <v>5</v>
      </c>
      <c r="C7" s="1201"/>
      <c r="D7" s="1201"/>
      <c r="E7" s="1158" t="s">
        <v>576</v>
      </c>
      <c r="F7" s="1193"/>
      <c r="G7" s="1362" t="s">
        <v>21</v>
      </c>
      <c r="H7" s="1173"/>
      <c r="I7" s="186"/>
      <c r="J7" s="1516" t="s">
        <v>3</v>
      </c>
      <c r="K7" s="1516"/>
      <c r="L7" s="1516"/>
      <c r="M7" s="1517"/>
      <c r="N7" s="235"/>
      <c r="O7" s="242"/>
      <c r="P7" s="879"/>
      <c r="Q7" s="238"/>
      <c r="R7"/>
      <c r="S7"/>
      <c r="T7"/>
      <c r="U7"/>
      <c r="V7"/>
      <c r="W7"/>
      <c r="X7"/>
      <c r="Y7"/>
      <c r="Z7"/>
    </row>
    <row r="8" spans="2:26" ht="15.75" customHeight="1" x14ac:dyDescent="0.2">
      <c r="B8" s="1326" t="s">
        <v>54</v>
      </c>
      <c r="C8" s="1327"/>
      <c r="D8" s="1327"/>
      <c r="E8" s="1530">
        <v>1</v>
      </c>
      <c r="F8" s="1531"/>
      <c r="G8" s="1378" t="s">
        <v>253</v>
      </c>
      <c r="H8" s="1198"/>
      <c r="I8" s="187"/>
      <c r="J8" s="1520"/>
      <c r="K8" s="1520"/>
      <c r="L8" s="1520"/>
      <c r="M8" s="1521"/>
      <c r="N8" s="1373" t="s">
        <v>257</v>
      </c>
      <c r="O8" s="1373"/>
      <c r="P8" s="55">
        <v>0</v>
      </c>
      <c r="Q8" s="239"/>
      <c r="R8"/>
      <c r="S8"/>
      <c r="T8"/>
      <c r="U8"/>
      <c r="V8"/>
      <c r="W8"/>
      <c r="X8"/>
      <c r="Y8"/>
      <c r="Z8"/>
    </row>
    <row r="9" spans="2:26" ht="15.75" x14ac:dyDescent="0.2">
      <c r="B9" s="1318" t="s">
        <v>53</v>
      </c>
      <c r="C9" s="1319"/>
      <c r="D9" s="1319"/>
      <c r="E9" s="1189">
        <f>100%-E8</f>
        <v>0</v>
      </c>
      <c r="F9" s="1190"/>
      <c r="G9" s="1371" t="s">
        <v>244</v>
      </c>
      <c r="H9" s="1220"/>
      <c r="I9" s="185"/>
      <c r="J9" s="1518"/>
      <c r="K9" s="1518"/>
      <c r="L9" s="1518"/>
      <c r="M9" s="1519"/>
      <c r="N9" s="1338" t="s">
        <v>22</v>
      </c>
      <c r="O9" s="1338"/>
      <c r="P9" s="58"/>
      <c r="Q9" s="239"/>
      <c r="R9"/>
      <c r="S9"/>
      <c r="T9"/>
      <c r="U9"/>
      <c r="V9"/>
      <c r="W9"/>
      <c r="X9"/>
      <c r="Y9"/>
      <c r="Z9"/>
    </row>
    <row r="10" spans="2:26" ht="19.5" thickBot="1" x14ac:dyDescent="0.25">
      <c r="B10" s="1152" t="s">
        <v>276</v>
      </c>
      <c r="C10" s="1153"/>
      <c r="D10" s="1153"/>
      <c r="E10" s="1533">
        <f>P6+P10</f>
        <v>70</v>
      </c>
      <c r="F10" s="1534"/>
      <c r="G10" s="1371" t="s">
        <v>20</v>
      </c>
      <c r="H10" s="1220"/>
      <c r="I10" s="185"/>
      <c r="J10" s="1518"/>
      <c r="K10" s="1518"/>
      <c r="L10" s="1518"/>
      <c r="M10" s="1519"/>
      <c r="N10" s="1334" t="s">
        <v>233</v>
      </c>
      <c r="O10" s="1334"/>
      <c r="P10" s="212">
        <f>P8+P9*10</f>
        <v>0</v>
      </c>
      <c r="Q10" s="240"/>
      <c r="R10"/>
      <c r="S10"/>
      <c r="T10"/>
      <c r="U10"/>
      <c r="V10"/>
      <c r="W10"/>
      <c r="X10"/>
      <c r="Y10"/>
      <c r="Z10"/>
    </row>
    <row r="11" spans="2:26" ht="19.5" thickBot="1" x14ac:dyDescent="0.25">
      <c r="B11" s="1150" t="s">
        <v>277</v>
      </c>
      <c r="C11" s="1151"/>
      <c r="D11" s="1151"/>
      <c r="E11" s="1146">
        <f>ROUNDUP(E10/10,0)</f>
        <v>7</v>
      </c>
      <c r="F11" s="1147"/>
      <c r="G11" s="1362" t="s">
        <v>21</v>
      </c>
      <c r="H11" s="1173"/>
      <c r="I11" s="186"/>
      <c r="J11" s="1516"/>
      <c r="K11" s="1516"/>
      <c r="L11" s="1516"/>
      <c r="M11" s="1517"/>
      <c r="N11" s="1416" t="s">
        <v>568</v>
      </c>
      <c r="O11" s="1448"/>
      <c r="P11" s="841">
        <f>'Local Penalties'!B8</f>
        <v>7</v>
      </c>
      <c r="Q11" s="240"/>
      <c r="R11"/>
      <c r="S11"/>
      <c r="T11"/>
      <c r="U11"/>
      <c r="V11"/>
      <c r="W11"/>
      <c r="X11"/>
      <c r="Y11"/>
      <c r="Z11"/>
    </row>
    <row r="12" spans="2:26" ht="19.5" thickBot="1" x14ac:dyDescent="0.25">
      <c r="B12" s="870"/>
      <c r="C12" s="871"/>
      <c r="D12" s="818"/>
      <c r="E12" s="818"/>
      <c r="F12" s="818"/>
      <c r="G12" s="66"/>
      <c r="H12" s="59"/>
      <c r="I12" s="60"/>
      <c r="J12" s="61"/>
      <c r="K12" s="61"/>
      <c r="L12" s="61"/>
      <c r="M12" s="61"/>
      <c r="N12" s="813"/>
      <c r="O12" s="813"/>
      <c r="P12" s="819"/>
      <c r="Q12" s="56"/>
      <c r="R12" s="63"/>
      <c r="S12" s="64"/>
      <c r="T12" s="57"/>
      <c r="U12" s="57"/>
      <c r="V12" s="57"/>
      <c r="W12" s="65"/>
      <c r="X12" s="57"/>
      <c r="Y12" s="57"/>
      <c r="Z12" s="57"/>
    </row>
    <row r="13" spans="2:26" ht="19.5" thickBot="1" x14ac:dyDescent="0.25">
      <c r="B13" s="820"/>
      <c r="C13" s="192"/>
      <c r="D13" s="192"/>
      <c r="E13" s="192"/>
      <c r="F13" s="192"/>
      <c r="G13" s="107"/>
      <c r="H13" s="814"/>
      <c r="I13" s="821"/>
      <c r="J13" s="1299" t="s">
        <v>297</v>
      </c>
      <c r="K13" s="1300"/>
      <c r="L13" s="1301"/>
      <c r="M13" s="110"/>
      <c r="N13" s="1305" t="s">
        <v>578</v>
      </c>
      <c r="O13" s="1306"/>
      <c r="P13" s="1307"/>
      <c r="Q13" s="108"/>
      <c r="R13"/>
      <c r="S13"/>
      <c r="T13"/>
      <c r="U13"/>
      <c r="V13"/>
      <c r="W13"/>
      <c r="X13"/>
      <c r="Y13"/>
      <c r="Z13"/>
    </row>
    <row r="14" spans="2:26" ht="29.25" thickBot="1" x14ac:dyDescent="0.25">
      <c r="B14" s="859">
        <v>0.02</v>
      </c>
      <c r="C14" s="859" t="s">
        <v>58</v>
      </c>
      <c r="D14" s="1160" t="s">
        <v>226</v>
      </c>
      <c r="E14" s="1161"/>
      <c r="F14" s="1161"/>
      <c r="G14" s="1162"/>
      <c r="H14" s="861" t="s">
        <v>249</v>
      </c>
      <c r="I14" s="114" t="s">
        <v>0</v>
      </c>
      <c r="J14" s="1360" t="s">
        <v>298</v>
      </c>
      <c r="K14" s="1287" t="s">
        <v>6</v>
      </c>
      <c r="L14" s="864" t="s">
        <v>299</v>
      </c>
      <c r="M14" s="67"/>
      <c r="N14" s="863" t="s">
        <v>428</v>
      </c>
      <c r="O14" s="1287" t="s">
        <v>6</v>
      </c>
      <c r="P14" s="864" t="s">
        <v>299</v>
      </c>
      <c r="Q14" s="54"/>
      <c r="R14"/>
      <c r="S14"/>
      <c r="T14"/>
      <c r="U14"/>
      <c r="V14"/>
      <c r="W14"/>
      <c r="X14"/>
      <c r="Y14"/>
      <c r="Z14"/>
    </row>
    <row r="15" spans="2:26" ht="16.5" thickBot="1" x14ac:dyDescent="0.25">
      <c r="B15" s="860"/>
      <c r="C15" s="860"/>
      <c r="D15" s="1163"/>
      <c r="E15" s="1164"/>
      <c r="F15" s="1164"/>
      <c r="G15" s="1165"/>
      <c r="H15" s="862"/>
      <c r="I15" s="862"/>
      <c r="J15" s="1361"/>
      <c r="K15" s="1288"/>
      <c r="L15" s="244" t="s">
        <v>42</v>
      </c>
      <c r="M15" s="68"/>
      <c r="N15" s="419">
        <f>(N43)/(J43)</f>
        <v>0</v>
      </c>
      <c r="O15" s="1288"/>
      <c r="P15" s="244" t="s">
        <v>44</v>
      </c>
      <c r="Q15" s="54"/>
      <c r="R15"/>
      <c r="S15"/>
      <c r="T15"/>
      <c r="U15"/>
      <c r="V15"/>
      <c r="W15"/>
      <c r="X15"/>
      <c r="Y15"/>
      <c r="Z15"/>
    </row>
    <row r="16" spans="2:26" ht="15.75" hidden="1" customHeight="1" thickTop="1" x14ac:dyDescent="0.2">
      <c r="B16" s="822" t="s">
        <v>8</v>
      </c>
      <c r="C16" s="195"/>
      <c r="D16" s="1226"/>
      <c r="E16" s="1226"/>
      <c r="F16" s="1226"/>
      <c r="G16" s="1226"/>
      <c r="H16" s="70"/>
      <c r="I16" s="71"/>
      <c r="J16" s="154"/>
      <c r="K16" s="162"/>
      <c r="L16" s="198"/>
      <c r="M16" s="164"/>
      <c r="N16" s="160"/>
      <c r="O16" s="162"/>
      <c r="P16" s="872"/>
      <c r="Q16" s="125"/>
      <c r="R16"/>
      <c r="S16"/>
      <c r="T16"/>
      <c r="U16"/>
      <c r="V16"/>
      <c r="W16"/>
      <c r="X16"/>
      <c r="Y16"/>
      <c r="Z16"/>
    </row>
    <row r="17" spans="2:26" ht="15.75" hidden="1" customHeight="1" thickBot="1" x14ac:dyDescent="0.25">
      <c r="B17" s="822" t="s">
        <v>8</v>
      </c>
      <c r="C17" s="262"/>
      <c r="D17" s="1183"/>
      <c r="E17" s="1240"/>
      <c r="F17" s="1240"/>
      <c r="G17" s="1241"/>
      <c r="H17" s="76"/>
      <c r="I17" s="77"/>
      <c r="J17" s="156"/>
      <c r="K17" s="162"/>
      <c r="L17" s="167"/>
      <c r="M17" s="164"/>
      <c r="N17" s="160"/>
      <c r="O17" s="162"/>
      <c r="P17" s="823"/>
      <c r="Q17" s="125"/>
      <c r="R17"/>
      <c r="S17"/>
      <c r="T17"/>
      <c r="U17"/>
      <c r="V17"/>
      <c r="W17"/>
      <c r="X17"/>
      <c r="Y17"/>
      <c r="Z17"/>
    </row>
    <row r="18" spans="2:26" ht="15.75" hidden="1" customHeight="1" thickTop="1" x14ac:dyDescent="0.2">
      <c r="B18" s="822" t="s">
        <v>8</v>
      </c>
      <c r="C18" s="262"/>
      <c r="D18" s="1226"/>
      <c r="E18" s="1226"/>
      <c r="F18" s="1226"/>
      <c r="G18" s="1226"/>
      <c r="H18" s="281"/>
      <c r="I18" s="77"/>
      <c r="J18" s="156"/>
      <c r="K18" s="162"/>
      <c r="L18" s="167"/>
      <c r="M18" s="164"/>
      <c r="N18" s="160"/>
      <c r="O18" s="162"/>
      <c r="P18" s="823"/>
      <c r="Q18" s="125"/>
      <c r="R18"/>
      <c r="S18"/>
      <c r="T18"/>
      <c r="U18"/>
      <c r="V18"/>
      <c r="W18"/>
      <c r="X18"/>
      <c r="Y18"/>
      <c r="Z18"/>
    </row>
    <row r="19" spans="2:26" ht="15" x14ac:dyDescent="0.2">
      <c r="B19" s="822" t="s">
        <v>8</v>
      </c>
      <c r="C19" s="1355" t="s">
        <v>241</v>
      </c>
      <c r="D19" s="1172" t="s">
        <v>212</v>
      </c>
      <c r="E19" s="1172"/>
      <c r="F19" s="1172"/>
      <c r="G19" s="1172"/>
      <c r="H19" s="857" t="s">
        <v>32</v>
      </c>
      <c r="I19" s="77" t="s">
        <v>27</v>
      </c>
      <c r="J19" s="155">
        <f>(E10-SUM(J16:J18))*E8</f>
        <v>70</v>
      </c>
      <c r="K19" s="162">
        <f>IF(B19="Y",J19* 2%,0)</f>
        <v>1.4000000000000001</v>
      </c>
      <c r="L19" s="167">
        <f>J19-K19</f>
        <v>68.599999999999994</v>
      </c>
      <c r="M19" s="164"/>
      <c r="N19" s="160">
        <f t="shared" ref="N19:N34" si="0">IF($N$43=0,,J19*$N$15)</f>
        <v>0</v>
      </c>
      <c r="O19" s="162">
        <f t="shared" ref="O19:O34" si="1">IF(B19="Y", N19*2%,)</f>
        <v>0</v>
      </c>
      <c r="P19" s="823">
        <f t="shared" ref="P19:P40" si="2">N19-O19</f>
        <v>0</v>
      </c>
      <c r="Q19" s="125"/>
      <c r="R19"/>
      <c r="S19"/>
      <c r="T19"/>
      <c r="U19"/>
      <c r="V19"/>
      <c r="W19"/>
      <c r="X19"/>
      <c r="Y19"/>
      <c r="Z19"/>
    </row>
    <row r="20" spans="2:26" ht="15" x14ac:dyDescent="0.2">
      <c r="B20" s="822" t="s">
        <v>8</v>
      </c>
      <c r="C20" s="1356"/>
      <c r="D20" s="1172" t="s">
        <v>213</v>
      </c>
      <c r="E20" s="1172"/>
      <c r="F20" s="1172"/>
      <c r="G20" s="1172"/>
      <c r="H20" s="857" t="s">
        <v>52</v>
      </c>
      <c r="I20" s="77" t="s">
        <v>25</v>
      </c>
      <c r="J20" s="155">
        <f>(E10-SUM(J16:J18))*E9</f>
        <v>0</v>
      </c>
      <c r="K20" s="162">
        <f t="shared" ref="K20:K34" si="3">IF(B20="Y",J20* 2%,0)</f>
        <v>0</v>
      </c>
      <c r="L20" s="167">
        <f t="shared" ref="L20:L33" si="4">J20-K20</f>
        <v>0</v>
      </c>
      <c r="M20" s="164"/>
      <c r="N20" s="160">
        <f t="shared" si="0"/>
        <v>0</v>
      </c>
      <c r="O20" s="162">
        <f t="shared" si="1"/>
        <v>0</v>
      </c>
      <c r="P20" s="823">
        <f t="shared" si="2"/>
        <v>0</v>
      </c>
      <c r="Q20" s="125"/>
      <c r="R20"/>
      <c r="S20"/>
      <c r="T20"/>
      <c r="U20"/>
      <c r="V20"/>
      <c r="W20"/>
      <c r="X20"/>
      <c r="Y20"/>
      <c r="Z20"/>
    </row>
    <row r="21" spans="2:26" ht="15" x14ac:dyDescent="0.2">
      <c r="B21" s="822" t="s">
        <v>8</v>
      </c>
      <c r="C21" s="75">
        <v>7</v>
      </c>
      <c r="D21" s="1172" t="s">
        <v>214</v>
      </c>
      <c r="E21" s="1172"/>
      <c r="F21" s="1172"/>
      <c r="G21" s="1172"/>
      <c r="H21" s="857" t="s">
        <v>31</v>
      </c>
      <c r="I21" s="77" t="s">
        <v>26</v>
      </c>
      <c r="J21" s="155">
        <f>$E$11*C21</f>
        <v>49</v>
      </c>
      <c r="K21" s="162">
        <f t="shared" si="3"/>
        <v>0.98</v>
      </c>
      <c r="L21" s="167">
        <f t="shared" si="4"/>
        <v>48.02</v>
      </c>
      <c r="M21" s="164"/>
      <c r="N21" s="160">
        <f t="shared" si="0"/>
        <v>0</v>
      </c>
      <c r="O21" s="162">
        <f t="shared" si="1"/>
        <v>0</v>
      </c>
      <c r="P21" s="823">
        <f t="shared" si="2"/>
        <v>0</v>
      </c>
      <c r="Q21" s="125"/>
      <c r="R21"/>
      <c r="S21"/>
      <c r="T21"/>
      <c r="U21"/>
      <c r="V21"/>
      <c r="W21"/>
      <c r="X21"/>
      <c r="Y21"/>
      <c r="Z21"/>
    </row>
    <row r="22" spans="2:26" ht="15" x14ac:dyDescent="0.2">
      <c r="B22" s="822" t="s">
        <v>8</v>
      </c>
      <c r="C22" s="75">
        <v>3</v>
      </c>
      <c r="D22" s="1183" t="s">
        <v>215</v>
      </c>
      <c r="E22" s="1240"/>
      <c r="F22" s="1240"/>
      <c r="G22" s="1241"/>
      <c r="H22" s="857" t="s">
        <v>32</v>
      </c>
      <c r="I22" s="77" t="s">
        <v>27</v>
      </c>
      <c r="J22" s="155">
        <f t="shared" ref="J22:J33" si="5">$E$11*C22</f>
        <v>21</v>
      </c>
      <c r="K22" s="162">
        <f t="shared" si="3"/>
        <v>0.42</v>
      </c>
      <c r="L22" s="167">
        <f t="shared" si="4"/>
        <v>20.58</v>
      </c>
      <c r="M22" s="164"/>
      <c r="N22" s="160">
        <f t="shared" si="0"/>
        <v>0</v>
      </c>
      <c r="O22" s="162">
        <f t="shared" si="1"/>
        <v>0</v>
      </c>
      <c r="P22" s="823">
        <f t="shared" si="2"/>
        <v>0</v>
      </c>
      <c r="Q22" s="125"/>
      <c r="R22"/>
      <c r="S22"/>
      <c r="T22"/>
      <c r="U22"/>
      <c r="V22"/>
      <c r="W22"/>
      <c r="X22"/>
      <c r="Y22"/>
      <c r="Z22"/>
    </row>
    <row r="23" spans="2:26" ht="17.25" customHeight="1" x14ac:dyDescent="0.2">
      <c r="B23" s="822" t="s">
        <v>8</v>
      </c>
      <c r="C23" s="75">
        <v>1</v>
      </c>
      <c r="D23" s="1183" t="s">
        <v>216</v>
      </c>
      <c r="E23" s="1240"/>
      <c r="F23" s="1240"/>
      <c r="G23" s="1241"/>
      <c r="H23" s="857" t="s">
        <v>32</v>
      </c>
      <c r="I23" s="77" t="s">
        <v>55</v>
      </c>
      <c r="J23" s="155">
        <f t="shared" si="5"/>
        <v>7</v>
      </c>
      <c r="K23" s="162">
        <f t="shared" si="3"/>
        <v>0.14000000000000001</v>
      </c>
      <c r="L23" s="167">
        <f t="shared" si="4"/>
        <v>6.86</v>
      </c>
      <c r="M23" s="164"/>
      <c r="N23" s="160">
        <f t="shared" si="0"/>
        <v>0</v>
      </c>
      <c r="O23" s="162">
        <f t="shared" si="1"/>
        <v>0</v>
      </c>
      <c r="P23" s="823">
        <f t="shared" si="2"/>
        <v>0</v>
      </c>
      <c r="Q23" s="125"/>
      <c r="R23"/>
      <c r="S23"/>
      <c r="T23"/>
      <c r="U23"/>
      <c r="V23"/>
      <c r="W23"/>
      <c r="X23"/>
      <c r="Y23"/>
      <c r="Z23"/>
    </row>
    <row r="24" spans="2:26" ht="15" x14ac:dyDescent="0.2">
      <c r="B24" s="822" t="s">
        <v>8</v>
      </c>
      <c r="C24" s="75">
        <v>4</v>
      </c>
      <c r="D24" s="1183" t="s">
        <v>466</v>
      </c>
      <c r="E24" s="1240"/>
      <c r="F24" s="1240"/>
      <c r="G24" s="1241"/>
      <c r="H24" s="857" t="s">
        <v>31</v>
      </c>
      <c r="I24" s="77" t="s">
        <v>72</v>
      </c>
      <c r="J24" s="155">
        <f t="shared" si="5"/>
        <v>28</v>
      </c>
      <c r="K24" s="162">
        <f t="shared" si="3"/>
        <v>0.56000000000000005</v>
      </c>
      <c r="L24" s="167">
        <f t="shared" si="4"/>
        <v>27.44</v>
      </c>
      <c r="M24" s="164"/>
      <c r="N24" s="160">
        <f t="shared" si="0"/>
        <v>0</v>
      </c>
      <c r="O24" s="162">
        <f t="shared" si="1"/>
        <v>0</v>
      </c>
      <c r="P24" s="823">
        <f t="shared" si="2"/>
        <v>0</v>
      </c>
      <c r="Q24" s="125"/>
      <c r="R24"/>
      <c r="S24"/>
      <c r="T24"/>
      <c r="U24"/>
      <c r="V24"/>
      <c r="W24"/>
      <c r="X24"/>
      <c r="Y24"/>
      <c r="Z24"/>
    </row>
    <row r="25" spans="2:26" ht="20.25" customHeight="1" x14ac:dyDescent="0.2">
      <c r="B25" s="822" t="s">
        <v>8</v>
      </c>
      <c r="C25" s="782">
        <v>2</v>
      </c>
      <c r="D25" s="1172" t="s">
        <v>217</v>
      </c>
      <c r="E25" s="1172"/>
      <c r="F25" s="1279" t="str">
        <f>IF(SUM(C25:C29)=P11,"GC 76000 PA ($" &amp;P11 &amp; " for every 10) breakdown per local board of supervisor resolution (BOS).","ERROR! GC 76000 PA total is not $" &amp;P11&amp; ". Check Court's board resolution.")</f>
        <v>GC 76000 PA ($7 for every 10) breakdown per local board of supervisor resolution (BOS).</v>
      </c>
      <c r="G25" s="1280"/>
      <c r="H25" s="857" t="s">
        <v>32</v>
      </c>
      <c r="I25" s="77" t="s">
        <v>64</v>
      </c>
      <c r="J25" s="155">
        <f t="shared" si="5"/>
        <v>14</v>
      </c>
      <c r="K25" s="162">
        <f t="shared" si="3"/>
        <v>0.28000000000000003</v>
      </c>
      <c r="L25" s="167">
        <f t="shared" si="4"/>
        <v>13.72</v>
      </c>
      <c r="M25" s="164"/>
      <c r="N25" s="160">
        <f t="shared" si="0"/>
        <v>0</v>
      </c>
      <c r="O25" s="162">
        <f t="shared" si="1"/>
        <v>0</v>
      </c>
      <c r="P25" s="823">
        <f t="shared" si="2"/>
        <v>0</v>
      </c>
      <c r="Q25" s="125"/>
      <c r="R25"/>
      <c r="S25"/>
      <c r="T25"/>
      <c r="U25"/>
      <c r="V25"/>
      <c r="W25"/>
      <c r="X25"/>
      <c r="Y25"/>
      <c r="Z25"/>
    </row>
    <row r="26" spans="2:26" ht="15.75" customHeight="1" x14ac:dyDescent="0.2">
      <c r="B26" s="822" t="s">
        <v>8</v>
      </c>
      <c r="C26" s="782">
        <v>2</v>
      </c>
      <c r="D26" s="1172" t="s">
        <v>218</v>
      </c>
      <c r="E26" s="1172"/>
      <c r="F26" s="1281"/>
      <c r="G26" s="1282"/>
      <c r="H26" s="857" t="s">
        <v>32</v>
      </c>
      <c r="I26" s="77" t="s">
        <v>35</v>
      </c>
      <c r="J26" s="155">
        <f t="shared" si="5"/>
        <v>14</v>
      </c>
      <c r="K26" s="162">
        <f t="shared" si="3"/>
        <v>0.28000000000000003</v>
      </c>
      <c r="L26" s="167">
        <f t="shared" si="4"/>
        <v>13.72</v>
      </c>
      <c r="M26" s="164"/>
      <c r="N26" s="160">
        <f t="shared" si="0"/>
        <v>0</v>
      </c>
      <c r="O26" s="162">
        <f t="shared" si="1"/>
        <v>0</v>
      </c>
      <c r="P26" s="823">
        <f t="shared" si="2"/>
        <v>0</v>
      </c>
      <c r="Q26" s="125"/>
      <c r="R26"/>
      <c r="S26"/>
      <c r="T26"/>
      <c r="U26"/>
      <c r="V26"/>
      <c r="W26"/>
      <c r="X26"/>
      <c r="Y26"/>
      <c r="Z26"/>
    </row>
    <row r="27" spans="2:26" ht="18.75" customHeight="1" x14ac:dyDescent="0.2">
      <c r="B27" s="822" t="s">
        <v>8</v>
      </c>
      <c r="C27" s="782">
        <v>2</v>
      </c>
      <c r="D27" s="1172" t="s">
        <v>219</v>
      </c>
      <c r="E27" s="1172"/>
      <c r="F27" s="1281"/>
      <c r="G27" s="1282"/>
      <c r="H27" s="857" t="s">
        <v>32</v>
      </c>
      <c r="I27" s="77" t="s">
        <v>65</v>
      </c>
      <c r="J27" s="155">
        <f t="shared" si="5"/>
        <v>14</v>
      </c>
      <c r="K27" s="162">
        <f t="shared" si="3"/>
        <v>0.28000000000000003</v>
      </c>
      <c r="L27" s="167">
        <f t="shared" si="4"/>
        <v>13.72</v>
      </c>
      <c r="M27" s="164"/>
      <c r="N27" s="160">
        <f t="shared" si="0"/>
        <v>0</v>
      </c>
      <c r="O27" s="162">
        <f t="shared" si="1"/>
        <v>0</v>
      </c>
      <c r="P27" s="823">
        <f t="shared" si="2"/>
        <v>0</v>
      </c>
      <c r="Q27" s="125"/>
      <c r="R27"/>
      <c r="S27"/>
      <c r="T27"/>
      <c r="U27"/>
      <c r="V27"/>
      <c r="W27"/>
      <c r="X27"/>
      <c r="Y27"/>
      <c r="Z27"/>
    </row>
    <row r="28" spans="2:26" ht="17.25" customHeight="1" x14ac:dyDescent="0.2">
      <c r="B28" s="822" t="s">
        <v>8</v>
      </c>
      <c r="C28" s="782">
        <v>1</v>
      </c>
      <c r="D28" s="1172" t="s">
        <v>401</v>
      </c>
      <c r="E28" s="1172"/>
      <c r="F28" s="1281"/>
      <c r="G28" s="1282"/>
      <c r="H28" s="857" t="s">
        <v>32</v>
      </c>
      <c r="I28" s="77" t="s">
        <v>65</v>
      </c>
      <c r="J28" s="155">
        <f>$E$11*C28</f>
        <v>7</v>
      </c>
      <c r="K28" s="162">
        <f>IF(B28="Y",J28* 2%,0)</f>
        <v>0.14000000000000001</v>
      </c>
      <c r="L28" s="167">
        <f>J28-K28</f>
        <v>6.86</v>
      </c>
      <c r="M28" s="164"/>
      <c r="N28" s="160">
        <f t="shared" si="0"/>
        <v>0</v>
      </c>
      <c r="O28" s="162">
        <f t="shared" si="1"/>
        <v>0</v>
      </c>
      <c r="P28" s="823">
        <f>N28-O28</f>
        <v>0</v>
      </c>
      <c r="Q28" s="125"/>
      <c r="R28"/>
      <c r="S28"/>
      <c r="T28"/>
      <c r="U28"/>
      <c r="V28"/>
      <c r="W28"/>
      <c r="X28"/>
      <c r="Y28"/>
      <c r="Z28"/>
    </row>
    <row r="29" spans="2:26" ht="15" x14ac:dyDescent="0.2">
      <c r="B29" s="822" t="s">
        <v>8</v>
      </c>
      <c r="C29" s="782">
        <v>0</v>
      </c>
      <c r="D29" s="1172" t="s">
        <v>254</v>
      </c>
      <c r="E29" s="1172"/>
      <c r="F29" s="1283"/>
      <c r="G29" s="1284"/>
      <c r="H29" s="857" t="s">
        <v>32</v>
      </c>
      <c r="I29" s="77"/>
      <c r="J29" s="155">
        <f t="shared" si="5"/>
        <v>0</v>
      </c>
      <c r="K29" s="162">
        <f t="shared" si="3"/>
        <v>0</v>
      </c>
      <c r="L29" s="167">
        <f t="shared" si="4"/>
        <v>0</v>
      </c>
      <c r="M29" s="164"/>
      <c r="N29" s="160">
        <f t="shared" si="0"/>
        <v>0</v>
      </c>
      <c r="O29" s="162">
        <f t="shared" si="1"/>
        <v>0</v>
      </c>
      <c r="P29" s="823">
        <f t="shared" si="2"/>
        <v>0</v>
      </c>
      <c r="Q29" s="125"/>
      <c r="R29"/>
      <c r="S29"/>
      <c r="T29"/>
      <c r="U29"/>
      <c r="V29"/>
      <c r="W29"/>
      <c r="X29"/>
      <c r="Y29"/>
      <c r="Z29"/>
    </row>
    <row r="30" spans="2:26" ht="15" x14ac:dyDescent="0.2">
      <c r="B30" s="822" t="s">
        <v>8</v>
      </c>
      <c r="C30" s="782">
        <v>2</v>
      </c>
      <c r="D30" s="1154" t="s">
        <v>286</v>
      </c>
      <c r="E30" s="1155"/>
      <c r="F30" s="1155"/>
      <c r="G30" s="1232"/>
      <c r="H30" s="865" t="s">
        <v>32</v>
      </c>
      <c r="I30" s="84" t="s">
        <v>36</v>
      </c>
      <c r="J30" s="155">
        <f t="shared" si="5"/>
        <v>14</v>
      </c>
      <c r="K30" s="162">
        <f t="shared" si="3"/>
        <v>0.28000000000000003</v>
      </c>
      <c r="L30" s="167">
        <f t="shared" si="4"/>
        <v>13.72</v>
      </c>
      <c r="M30" s="164"/>
      <c r="N30" s="160">
        <f t="shared" si="0"/>
        <v>0</v>
      </c>
      <c r="O30" s="162">
        <f t="shared" si="1"/>
        <v>0</v>
      </c>
      <c r="P30" s="823">
        <f t="shared" si="2"/>
        <v>0</v>
      </c>
      <c r="Q30" s="127"/>
      <c r="R30"/>
      <c r="S30"/>
      <c r="T30"/>
      <c r="U30"/>
      <c r="V30"/>
      <c r="W30"/>
      <c r="X30"/>
      <c r="Y30"/>
      <c r="Z30"/>
    </row>
    <row r="31" spans="2:26" ht="15" x14ac:dyDescent="0.2">
      <c r="B31" s="822" t="s">
        <v>8</v>
      </c>
      <c r="C31" s="75"/>
      <c r="D31" s="1154" t="s">
        <v>385</v>
      </c>
      <c r="E31" s="1155"/>
      <c r="F31" s="1155"/>
      <c r="G31" s="1232"/>
      <c r="H31" s="865" t="s">
        <v>31</v>
      </c>
      <c r="I31" s="91" t="s">
        <v>39</v>
      </c>
      <c r="J31" s="204">
        <v>4</v>
      </c>
      <c r="K31" s="162">
        <f>IF(B31="Y", J31*2%,0)</f>
        <v>0.08</v>
      </c>
      <c r="L31" s="167">
        <f>J31-K31</f>
        <v>3.92</v>
      </c>
      <c r="M31" s="164"/>
      <c r="N31" s="155">
        <f t="shared" si="0"/>
        <v>0</v>
      </c>
      <c r="O31" s="162">
        <f t="shared" si="1"/>
        <v>0</v>
      </c>
      <c r="P31" s="823">
        <f>N31-O31</f>
        <v>0</v>
      </c>
      <c r="Q31" s="127"/>
      <c r="R31"/>
      <c r="S31"/>
      <c r="T31"/>
      <c r="U31"/>
      <c r="V31"/>
      <c r="W31"/>
      <c r="X31"/>
      <c r="Y31"/>
      <c r="Z31"/>
    </row>
    <row r="32" spans="2:26" ht="30" x14ac:dyDescent="0.2">
      <c r="B32" s="822" t="s">
        <v>8</v>
      </c>
      <c r="C32" s="782">
        <v>2</v>
      </c>
      <c r="D32" s="1154" t="s">
        <v>555</v>
      </c>
      <c r="E32" s="1155"/>
      <c r="F32" s="1232"/>
      <c r="G32" s="1088" t="s">
        <v>281</v>
      </c>
      <c r="H32" s="865" t="s">
        <v>31</v>
      </c>
      <c r="I32" s="84" t="s">
        <v>37</v>
      </c>
      <c r="J32" s="155">
        <f t="shared" si="5"/>
        <v>14</v>
      </c>
      <c r="K32" s="162">
        <f t="shared" si="3"/>
        <v>0.28000000000000003</v>
      </c>
      <c r="L32" s="167">
        <f t="shared" si="4"/>
        <v>13.72</v>
      </c>
      <c r="M32" s="164"/>
      <c r="N32" s="160">
        <f t="shared" si="0"/>
        <v>0</v>
      </c>
      <c r="O32" s="162">
        <f t="shared" si="1"/>
        <v>0</v>
      </c>
      <c r="P32" s="823">
        <f t="shared" si="2"/>
        <v>0</v>
      </c>
      <c r="Q32" s="125"/>
      <c r="R32"/>
      <c r="S32"/>
      <c r="T32"/>
      <c r="U32"/>
      <c r="V32"/>
      <c r="W32"/>
      <c r="X32"/>
      <c r="Y32"/>
      <c r="Z32"/>
    </row>
    <row r="33" spans="2:26" ht="15" x14ac:dyDescent="0.2">
      <c r="B33" s="822" t="s">
        <v>8</v>
      </c>
      <c r="C33" s="179">
        <f>5-C32</f>
        <v>3</v>
      </c>
      <c r="D33" s="1154" t="s">
        <v>556</v>
      </c>
      <c r="E33" s="1155"/>
      <c r="F33" s="1232"/>
      <c r="G33" s="1089"/>
      <c r="H33" s="865" t="s">
        <v>31</v>
      </c>
      <c r="I33" s="84" t="s">
        <v>197</v>
      </c>
      <c r="J33" s="155">
        <f t="shared" si="5"/>
        <v>21</v>
      </c>
      <c r="K33" s="162">
        <f t="shared" si="3"/>
        <v>0.42</v>
      </c>
      <c r="L33" s="167">
        <f t="shared" si="4"/>
        <v>20.58</v>
      </c>
      <c r="M33" s="164"/>
      <c r="N33" s="160">
        <f t="shared" si="0"/>
        <v>0</v>
      </c>
      <c r="O33" s="162">
        <f t="shared" si="1"/>
        <v>0</v>
      </c>
      <c r="P33" s="823">
        <f t="shared" si="2"/>
        <v>0</v>
      </c>
      <c r="Q33" s="125"/>
      <c r="R33"/>
      <c r="S33"/>
      <c r="T33"/>
      <c r="U33"/>
      <c r="V33"/>
      <c r="W33"/>
      <c r="X33"/>
      <c r="Y33"/>
      <c r="Z33"/>
    </row>
    <row r="34" spans="2:26" ht="15" x14ac:dyDescent="0.2">
      <c r="B34" s="822" t="s">
        <v>7</v>
      </c>
      <c r="C34" s="75"/>
      <c r="D34" s="1154" t="s">
        <v>220</v>
      </c>
      <c r="E34" s="1155"/>
      <c r="F34" s="1155"/>
      <c r="G34" s="1232"/>
      <c r="H34" s="865" t="s">
        <v>31</v>
      </c>
      <c r="I34" s="84" t="s">
        <v>10</v>
      </c>
      <c r="J34" s="155">
        <f>$E$10*20%</f>
        <v>14</v>
      </c>
      <c r="K34" s="162">
        <f t="shared" si="3"/>
        <v>0</v>
      </c>
      <c r="L34" s="167">
        <f>J34-K34</f>
        <v>14</v>
      </c>
      <c r="M34" s="164"/>
      <c r="N34" s="160">
        <f t="shared" si="0"/>
        <v>0</v>
      </c>
      <c r="O34" s="162">
        <f t="shared" si="1"/>
        <v>0</v>
      </c>
      <c r="P34" s="823">
        <f t="shared" si="2"/>
        <v>0</v>
      </c>
      <c r="Q34" s="127"/>
      <c r="R34"/>
      <c r="S34"/>
      <c r="T34"/>
      <c r="U34"/>
      <c r="V34"/>
      <c r="W34"/>
      <c r="X34"/>
      <c r="Y34"/>
      <c r="Z34"/>
    </row>
    <row r="35" spans="2:26" ht="15" x14ac:dyDescent="0.2">
      <c r="B35" s="822"/>
      <c r="C35" s="86"/>
      <c r="D35" s="1229" t="s">
        <v>221</v>
      </c>
      <c r="E35" s="1230"/>
      <c r="F35" s="1230"/>
      <c r="G35" s="1231"/>
      <c r="H35" s="703"/>
      <c r="I35" s="88"/>
      <c r="J35" s="157">
        <f>SUM(J16:J34)</f>
        <v>291</v>
      </c>
      <c r="K35" s="162"/>
      <c r="L35" s="168">
        <f>SUM(L16:L34)</f>
        <v>285.45999999999998</v>
      </c>
      <c r="M35" s="165"/>
      <c r="N35" s="157">
        <f>IF($N$43=0,,N43-SUM(N36:N40))</f>
        <v>0</v>
      </c>
      <c r="O35" s="162"/>
      <c r="P35" s="824">
        <f>SUM(P16:P34)</f>
        <v>0</v>
      </c>
      <c r="Q35" s="143"/>
      <c r="R35"/>
      <c r="S35"/>
      <c r="T35"/>
      <c r="U35"/>
      <c r="V35"/>
      <c r="W35"/>
      <c r="X35"/>
      <c r="Y35"/>
      <c r="Z35"/>
    </row>
    <row r="36" spans="2:26" ht="15" x14ac:dyDescent="0.2">
      <c r="B36" s="822" t="s">
        <v>7</v>
      </c>
      <c r="C36" s="75"/>
      <c r="D36" s="1154" t="s">
        <v>419</v>
      </c>
      <c r="E36" s="1155"/>
      <c r="F36" s="1155"/>
      <c r="G36" s="1232"/>
      <c r="H36" s="865" t="s">
        <v>31</v>
      </c>
      <c r="I36" s="91"/>
      <c r="J36" s="204">
        <v>40</v>
      </c>
      <c r="K36" s="162">
        <f>IF(B36="Y", J36*2%,0)</f>
        <v>0</v>
      </c>
      <c r="L36" s="167">
        <f>J36-K36</f>
        <v>40</v>
      </c>
      <c r="M36" s="164"/>
      <c r="N36" s="155">
        <f>IF($N$43=0,,J36*$N$15)</f>
        <v>0</v>
      </c>
      <c r="O36" s="162">
        <f>IF(B36="Y", N36*2%,)</f>
        <v>0</v>
      </c>
      <c r="P36" s="823">
        <f t="shared" ref="P36" si="6">N36-O36</f>
        <v>0</v>
      </c>
      <c r="Q36" s="127"/>
      <c r="R36"/>
      <c r="S36"/>
      <c r="T36"/>
      <c r="U36"/>
      <c r="V36"/>
      <c r="W36"/>
      <c r="X36"/>
      <c r="Y36"/>
      <c r="Z36"/>
    </row>
    <row r="37" spans="2:26" ht="15" x14ac:dyDescent="0.2">
      <c r="B37" s="822" t="s">
        <v>7</v>
      </c>
      <c r="C37" s="75"/>
      <c r="D37" s="1233" t="s">
        <v>259</v>
      </c>
      <c r="E37" s="1234"/>
      <c r="F37" s="1234"/>
      <c r="G37" s="1235"/>
      <c r="H37" s="704" t="s">
        <v>31</v>
      </c>
      <c r="I37" s="92" t="s">
        <v>197</v>
      </c>
      <c r="J37" s="204">
        <v>35</v>
      </c>
      <c r="K37" s="162">
        <f t="shared" ref="K37:K40" si="7">IF(B37="Y", J37*2%,0)</f>
        <v>0</v>
      </c>
      <c r="L37" s="167">
        <f t="shared" ref="L37:L40" si="8">J37-K37</f>
        <v>35</v>
      </c>
      <c r="M37" s="164"/>
      <c r="N37" s="155">
        <f>IF($N$43=0,,J37*$N$15)</f>
        <v>0</v>
      </c>
      <c r="O37" s="162">
        <f>IF(B37="Y", N37*2%,)</f>
        <v>0</v>
      </c>
      <c r="P37" s="823">
        <f t="shared" si="2"/>
        <v>0</v>
      </c>
      <c r="Q37" s="127"/>
      <c r="R37"/>
      <c r="S37"/>
      <c r="T37"/>
      <c r="U37"/>
      <c r="V37"/>
      <c r="W37"/>
      <c r="X37"/>
      <c r="Y37"/>
      <c r="Z37"/>
    </row>
    <row r="38" spans="2:26" ht="15" x14ac:dyDescent="0.2">
      <c r="B38" s="822" t="s">
        <v>7</v>
      </c>
      <c r="C38" s="94"/>
      <c r="D38" s="1233" t="s">
        <v>421</v>
      </c>
      <c r="E38" s="1234"/>
      <c r="F38" s="1234"/>
      <c r="G38" s="1235"/>
      <c r="H38" s="704" t="s">
        <v>230</v>
      </c>
      <c r="I38" s="92" t="s">
        <v>24</v>
      </c>
      <c r="J38" s="204">
        <v>0</v>
      </c>
      <c r="K38" s="162">
        <f t="shared" si="7"/>
        <v>0</v>
      </c>
      <c r="L38" s="167">
        <f t="shared" si="8"/>
        <v>0</v>
      </c>
      <c r="M38" s="164"/>
      <c r="N38" s="155">
        <f>IF($N$43=0,,J38*$N$15)</f>
        <v>0</v>
      </c>
      <c r="O38" s="162">
        <f>IF(B38="Y", N38*2%,)</f>
        <v>0</v>
      </c>
      <c r="P38" s="823">
        <f t="shared" si="2"/>
        <v>0</v>
      </c>
      <c r="Q38" s="125"/>
      <c r="R38"/>
      <c r="S38"/>
      <c r="T38"/>
      <c r="U38"/>
      <c r="V38"/>
      <c r="W38"/>
      <c r="X38"/>
      <c r="Y38"/>
      <c r="Z38"/>
    </row>
    <row r="39" spans="2:26" ht="15" x14ac:dyDescent="0.2">
      <c r="B39" s="822" t="s">
        <v>7</v>
      </c>
      <c r="C39" s="94"/>
      <c r="D39" s="1154" t="s">
        <v>577</v>
      </c>
      <c r="E39" s="1234"/>
      <c r="F39" s="1234"/>
      <c r="G39" s="1235"/>
      <c r="H39" s="704" t="s">
        <v>230</v>
      </c>
      <c r="I39" s="92" t="s">
        <v>82</v>
      </c>
      <c r="J39" s="204">
        <v>0</v>
      </c>
      <c r="K39" s="162">
        <f t="shared" si="7"/>
        <v>0</v>
      </c>
      <c r="L39" s="167">
        <f t="shared" si="8"/>
        <v>0</v>
      </c>
      <c r="M39" s="164"/>
      <c r="N39" s="155">
        <f>IF($N$43=0,,J39*$N$15)</f>
        <v>0</v>
      </c>
      <c r="O39" s="162">
        <f>IF(B39="Y", N39*2%,)</f>
        <v>0</v>
      </c>
      <c r="P39" s="823">
        <f t="shared" si="2"/>
        <v>0</v>
      </c>
      <c r="Q39" s="125"/>
      <c r="R39"/>
      <c r="S39"/>
      <c r="T39"/>
      <c r="U39"/>
      <c r="V39"/>
      <c r="W39"/>
      <c r="X39"/>
      <c r="Y39"/>
      <c r="Z39"/>
    </row>
    <row r="40" spans="2:26" ht="15" x14ac:dyDescent="0.2">
      <c r="B40" s="822" t="s">
        <v>7</v>
      </c>
      <c r="C40" s="94"/>
      <c r="D40" s="1233" t="s">
        <v>225</v>
      </c>
      <c r="E40" s="1234"/>
      <c r="F40" s="1234"/>
      <c r="G40" s="1235"/>
      <c r="H40" s="704" t="s">
        <v>31</v>
      </c>
      <c r="I40" s="92" t="s">
        <v>80</v>
      </c>
      <c r="J40" s="204">
        <v>1</v>
      </c>
      <c r="K40" s="162">
        <f t="shared" si="7"/>
        <v>0</v>
      </c>
      <c r="L40" s="167">
        <f t="shared" si="8"/>
        <v>1</v>
      </c>
      <c r="M40" s="164"/>
      <c r="N40" s="155">
        <f>IF($N$43=0,,J40*$N$15)</f>
        <v>0</v>
      </c>
      <c r="O40" s="162">
        <f>IF(B40="Y", N40*2%,)</f>
        <v>0</v>
      </c>
      <c r="P40" s="823">
        <f t="shared" si="2"/>
        <v>0</v>
      </c>
      <c r="Q40" s="125"/>
      <c r="R40"/>
      <c r="S40"/>
      <c r="T40"/>
      <c r="U40"/>
      <c r="V40"/>
      <c r="W40"/>
      <c r="X40"/>
      <c r="Y40"/>
      <c r="Z40"/>
    </row>
    <row r="41" spans="2:26" ht="15" x14ac:dyDescent="0.2">
      <c r="B41" s="873" t="s">
        <v>7</v>
      </c>
      <c r="C41" s="94"/>
      <c r="D41" s="1183" t="s">
        <v>492</v>
      </c>
      <c r="E41" s="1240"/>
      <c r="F41" s="1240"/>
      <c r="G41" s="1241"/>
      <c r="H41" s="705" t="s">
        <v>31</v>
      </c>
      <c r="I41" s="96" t="s">
        <v>41</v>
      </c>
      <c r="J41" s="97"/>
      <c r="K41" s="163"/>
      <c r="L41" s="169">
        <f>K42</f>
        <v>5.5400000000000009</v>
      </c>
      <c r="M41" s="164"/>
      <c r="N41" s="104"/>
      <c r="O41" s="163"/>
      <c r="P41" s="825">
        <f>O42</f>
        <v>0</v>
      </c>
      <c r="Q41" s="125"/>
      <c r="R41"/>
      <c r="S41"/>
      <c r="T41"/>
      <c r="U41"/>
      <c r="V41"/>
      <c r="W41"/>
      <c r="X41"/>
      <c r="Y41"/>
      <c r="Z41"/>
    </row>
    <row r="42" spans="2:26" ht="15" x14ac:dyDescent="0.2">
      <c r="B42" s="874"/>
      <c r="C42" s="827"/>
      <c r="D42" s="827"/>
      <c r="E42" s="827"/>
      <c r="F42" s="828"/>
      <c r="G42" s="828"/>
      <c r="H42" s="127"/>
      <c r="I42" s="127"/>
      <c r="J42" s="127"/>
      <c r="K42" s="829">
        <f>SUM(K16:K41)</f>
        <v>5.5400000000000009</v>
      </c>
      <c r="L42" s="170"/>
      <c r="M42" s="127"/>
      <c r="N42" s="127"/>
      <c r="O42" s="829">
        <f>SUM(O16:O41)</f>
        <v>0</v>
      </c>
      <c r="P42" s="830"/>
      <c r="Q42" s="125"/>
      <c r="R42"/>
      <c r="S42"/>
      <c r="T42"/>
      <c r="U42"/>
      <c r="V42"/>
      <c r="W42"/>
      <c r="X42"/>
      <c r="Y42"/>
      <c r="Z42"/>
    </row>
    <row r="43" spans="2:26" ht="16.5" thickBot="1" x14ac:dyDescent="0.25">
      <c r="B43" s="875"/>
      <c r="C43" s="833"/>
      <c r="D43" s="833"/>
      <c r="E43" s="833"/>
      <c r="F43" s="834"/>
      <c r="G43" s="858" t="s">
        <v>81</v>
      </c>
      <c r="H43" s="835"/>
      <c r="I43" s="836" t="s">
        <v>1</v>
      </c>
      <c r="J43" s="837">
        <f>SUM(J35:J42)</f>
        <v>367</v>
      </c>
      <c r="K43" s="838"/>
      <c r="L43" s="839">
        <f>SUM(L35:L42)</f>
        <v>367</v>
      </c>
      <c r="M43" s="840"/>
      <c r="N43" s="876">
        <v>0</v>
      </c>
      <c r="O43" s="838"/>
      <c r="P43" s="877">
        <f>SUM(P35:P42)</f>
        <v>0</v>
      </c>
      <c r="Q43" s="106"/>
      <c r="R43"/>
      <c r="S43"/>
      <c r="T43"/>
      <c r="U43"/>
      <c r="V43"/>
      <c r="W43"/>
      <c r="X43"/>
      <c r="Y43"/>
      <c r="Z43"/>
    </row>
  </sheetData>
  <mergeCells count="76">
    <mergeCell ref="B3:P3"/>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18:G18"/>
    <mergeCell ref="C19:C20"/>
    <mergeCell ref="D19:G19"/>
    <mergeCell ref="D20:G20"/>
    <mergeCell ref="D21:G21"/>
    <mergeCell ref="D26:E26"/>
    <mergeCell ref="D27:E27"/>
    <mergeCell ref="D28:E28"/>
    <mergeCell ref="D29:E29"/>
    <mergeCell ref="D22:G22"/>
    <mergeCell ref="D23:G23"/>
    <mergeCell ref="D24:G24"/>
    <mergeCell ref="B1:P1"/>
    <mergeCell ref="D41:G41"/>
    <mergeCell ref="D38:G38"/>
    <mergeCell ref="D39:G39"/>
    <mergeCell ref="D40:G40"/>
    <mergeCell ref="D34:G34"/>
    <mergeCell ref="D35:G35"/>
    <mergeCell ref="D36:G36"/>
    <mergeCell ref="D37:G37"/>
    <mergeCell ref="D30:G30"/>
    <mergeCell ref="D31:G31"/>
    <mergeCell ref="D32:F32"/>
    <mergeCell ref="G32:G33"/>
    <mergeCell ref="D33:F33"/>
    <mergeCell ref="D25:E25"/>
    <mergeCell ref="F25:G29"/>
  </mergeCells>
  <conditionalFormatting sqref="N16:P41">
    <cfRule type="cellIs" dxfId="74" priority="11" stopIfTrue="1" operator="equal">
      <formula>0</formula>
    </cfRule>
  </conditionalFormatting>
  <conditionalFormatting sqref="R12 R44:R65526">
    <cfRule type="cellIs" dxfId="73" priority="10" stopIfTrue="1" operator="notEqual">
      <formula>0</formula>
    </cfRule>
  </conditionalFormatting>
  <conditionalFormatting sqref="J16:J18">
    <cfRule type="cellIs" dxfId="72" priority="9" stopIfTrue="1" operator="equal">
      <formula>0</formula>
    </cfRule>
  </conditionalFormatting>
  <conditionalFormatting sqref="F25">
    <cfRule type="cellIs" dxfId="71" priority="8" operator="notEqual">
      <formula>"GC 76000 PA ($7 for every 10) breakdown per local board of supervisor resolution (BOS)."</formula>
    </cfRule>
  </conditionalFormatting>
  <conditionalFormatting sqref="K36:L41 K31:L31 J18:L30 J32:L35">
    <cfRule type="cellIs" dxfId="70" priority="6" operator="equal">
      <formula>0</formula>
    </cfRule>
  </conditionalFormatting>
  <conditionalFormatting sqref="F25">
    <cfRule type="cellIs" dxfId="69" priority="4" operator="notEqual">
      <formula>"GC 76000 PA ($7 for every 10) breakdown per local board of supervisor resolution (BOS)."</formula>
    </cfRule>
  </conditionalFormatting>
  <conditionalFormatting sqref="F25">
    <cfRule type="cellIs" dxfId="68" priority="3" operator="notEqual">
      <formula>"GC 76000 PA ($" &amp;P11 &amp;" for every 10) breakdown per local board of supervisor resolution (BOS)."</formula>
    </cfRule>
  </conditionalFormatting>
  <conditionalFormatting sqref="F25">
    <cfRule type="cellIs" dxfId="67" priority="2" operator="notEqual">
      <formula>"GC 76000 PA ($7 for every 10) breakdown per local board of supervisor resolution (BOS)."</formula>
    </cfRule>
  </conditionalFormatting>
  <conditionalFormatting sqref="F25">
    <cfRule type="cellIs" dxfId="66" priority="1" operator="notEqual">
      <formula>"GC 76000 PA ($" &amp;P11 &amp;" for every 10) breakdown per local board of supervisor resolution (BOS)."</formula>
    </cfRule>
  </conditionalFormatting>
  <pageMargins left="0.7" right="0.7" top="0.75" bottom="0.75" header="0.3" footer="0.3"/>
  <pageSetup scale="42" orientation="portrait" r:id="rId1"/>
  <colBreaks count="1" manualBreakCount="1">
    <brk id="22" max="1048575" man="1"/>
  </colBreaks>
  <ignoredErrors>
    <ignoredError sqref="N35 K31 L35 P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5506" r:id="rId4" name="Button 2">
              <controlPr defaultSize="0" print="0" autoFill="0" autoPict="0" macro="[5]!mcrDisableTwoPercentUnprotect">
                <anchor moveWithCells="1">
                  <from>
                    <xdr:col>1</xdr:col>
                    <xdr:colOff>9525</xdr:colOff>
                    <xdr:row>13</xdr:row>
                    <xdr:rowOff>523875</xdr:rowOff>
                  </from>
                  <to>
                    <xdr:col>1</xdr:col>
                    <xdr:colOff>266700</xdr:colOff>
                    <xdr:row>19</xdr:row>
                    <xdr:rowOff>28575</xdr:rowOff>
                  </to>
                </anchor>
              </controlPr>
            </control>
          </mc:Choice>
        </mc:AlternateContent>
        <mc:AlternateContent xmlns:mc="http://schemas.openxmlformats.org/markup-compatibility/2006">
          <mc:Choice Requires="x14">
            <control shapeId="405507" r:id="rId5" name="Button 3">
              <controlPr defaultSize="0" print="0" autoFill="0" autoPict="0" macro="[5]!mcrEnableTwoPercentUnprotect">
                <anchor moveWithCells="1">
                  <from>
                    <xdr:col>1</xdr:col>
                    <xdr:colOff>0</xdr:colOff>
                    <xdr:row>13</xdr:row>
                    <xdr:rowOff>219075</xdr:rowOff>
                  </from>
                  <to>
                    <xdr:col>1</xdr:col>
                    <xdr:colOff>266700</xdr:colOff>
                    <xdr:row>20</xdr:row>
                    <xdr:rowOff>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87" t="s">
        <v>386</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6"/>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78" t="s">
        <v>28</v>
      </c>
      <c r="G4" s="1198"/>
      <c r="H4" s="187"/>
      <c r="I4" s="1520" t="s">
        <v>387</v>
      </c>
      <c r="J4" s="1520"/>
      <c r="K4" s="1520"/>
      <c r="L4" s="1521"/>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371" t="s">
        <v>244</v>
      </c>
      <c r="G5" s="1220"/>
      <c r="H5" s="185"/>
      <c r="I5" s="1518" t="s">
        <v>388</v>
      </c>
      <c r="J5" s="1518"/>
      <c r="K5" s="1518"/>
      <c r="L5" s="1519"/>
      <c r="M5" s="1338" t="s">
        <v>22</v>
      </c>
      <c r="N5" s="1338"/>
      <c r="O5" s="58"/>
      <c r="P5" s="238"/>
      <c r="Q5" s="1339" t="s">
        <v>302</v>
      </c>
      <c r="R5" s="1340"/>
      <c r="S5" s="1340"/>
      <c r="T5" s="1340"/>
      <c r="U5" s="1340"/>
      <c r="V5" s="1340"/>
      <c r="W5" s="1341"/>
      <c r="Y5" s="172" t="s">
        <v>31</v>
      </c>
      <c r="Z5" s="176">
        <f>SUMIF($G$16:$G$41,"STATE",$K$16:$K$41)</f>
        <v>79</v>
      </c>
      <c r="AA5" s="176">
        <f>SUMIF($G$16:$G$41,"STATE",$S$16:$S$41)</f>
        <v>0</v>
      </c>
    </row>
    <row r="6" spans="1:28" s="57" customFormat="1" ht="16.5" thickBot="1" x14ac:dyDescent="0.25">
      <c r="A6" s="1200" t="s">
        <v>12</v>
      </c>
      <c r="B6" s="1201"/>
      <c r="C6" s="1201"/>
      <c r="D6" s="1221"/>
      <c r="E6" s="1333"/>
      <c r="F6" s="1371" t="s">
        <v>20</v>
      </c>
      <c r="G6" s="1220"/>
      <c r="H6" s="185"/>
      <c r="I6" s="1518" t="s">
        <v>389</v>
      </c>
      <c r="J6" s="1518"/>
      <c r="K6" s="1518"/>
      <c r="L6" s="1519"/>
      <c r="M6" s="1334" t="s">
        <v>233</v>
      </c>
      <c r="N6" s="1334"/>
      <c r="O6" s="212">
        <f>O4+O5*10</f>
        <v>0</v>
      </c>
      <c r="P6" s="238"/>
      <c r="Q6" s="1335" t="s">
        <v>573</v>
      </c>
      <c r="R6" s="1336"/>
      <c r="S6" s="1336"/>
      <c r="T6" s="1336"/>
      <c r="U6" s="1336"/>
      <c r="V6" s="1336"/>
      <c r="W6" s="1337"/>
      <c r="Y6" s="172" t="s">
        <v>32</v>
      </c>
      <c r="Z6" s="176">
        <f>SUMIF($G$16:$G$41,"COUNTY",$K$16:$K$41)</f>
        <v>0</v>
      </c>
      <c r="AA6" s="176">
        <f>SUMIF($G$16:$G$41,"COUNTY",$S$16:$S$41)</f>
        <v>0</v>
      </c>
    </row>
    <row r="7" spans="1:28" s="57" customFormat="1" ht="16.5" thickBot="1" x14ac:dyDescent="0.25">
      <c r="A7" s="1200" t="s">
        <v>5</v>
      </c>
      <c r="B7" s="1201"/>
      <c r="C7" s="1201"/>
      <c r="D7" s="1158"/>
      <c r="E7" s="1193"/>
      <c r="F7" s="1362" t="s">
        <v>21</v>
      </c>
      <c r="G7" s="1173"/>
      <c r="H7" s="186"/>
      <c r="I7" s="1516" t="s">
        <v>3</v>
      </c>
      <c r="J7" s="1516"/>
      <c r="K7" s="1516"/>
      <c r="L7" s="1517"/>
      <c r="M7" s="235"/>
      <c r="N7" s="242"/>
      <c r="O7" s="236"/>
      <c r="P7" s="238"/>
      <c r="Q7" s="1323" t="s">
        <v>235</v>
      </c>
      <c r="R7" s="1324"/>
      <c r="S7" s="1324"/>
      <c r="T7" s="1324"/>
      <c r="U7" s="1324"/>
      <c r="V7" s="1324"/>
      <c r="W7" s="1325"/>
      <c r="Y7" s="172" t="s">
        <v>52</v>
      </c>
      <c r="Z7" s="176">
        <f>SUMIF($G$16:$G$41,"CITY",$K$16:$K$41)</f>
        <v>0</v>
      </c>
      <c r="AA7" s="176">
        <f>SUMIF($G$16:$G$41,"CITY",$S$16:$S$41)</f>
        <v>0</v>
      </c>
    </row>
    <row r="8" spans="1:28" s="57" customFormat="1" ht="15.75" customHeight="1" x14ac:dyDescent="0.2">
      <c r="A8" s="1326" t="s">
        <v>434</v>
      </c>
      <c r="B8" s="1327"/>
      <c r="C8" s="1327"/>
      <c r="D8" s="1158" t="s">
        <v>437</v>
      </c>
      <c r="E8" s="1193"/>
      <c r="F8" s="1378" t="s">
        <v>382</v>
      </c>
      <c r="G8" s="1198"/>
      <c r="H8" s="187"/>
      <c r="I8" s="1520"/>
      <c r="J8" s="1520"/>
      <c r="K8" s="1520"/>
      <c r="L8" s="1521"/>
      <c r="M8" s="1373" t="s">
        <v>257</v>
      </c>
      <c r="N8" s="1373"/>
      <c r="O8" s="55">
        <v>0</v>
      </c>
      <c r="P8" s="239"/>
      <c r="Q8" s="1314" t="s">
        <v>303</v>
      </c>
      <c r="R8" s="1266"/>
      <c r="S8" s="1266"/>
      <c r="T8" s="1266"/>
      <c r="U8" s="1266"/>
      <c r="V8" s="1266"/>
      <c r="W8" s="1315"/>
      <c r="Y8" s="172" t="s">
        <v>230</v>
      </c>
      <c r="Z8" s="176">
        <f>SUMIF($G$16:$G$41,"COURT",$K$16:$K$41)</f>
        <v>0</v>
      </c>
      <c r="AA8" s="176">
        <f>SUMIF($G$16:$G$41,"COURT",$S$16:$S$41)</f>
        <v>0</v>
      </c>
    </row>
    <row r="9" spans="1:28" s="57" customFormat="1" ht="18" customHeight="1" thickBot="1" x14ac:dyDescent="0.25">
      <c r="A9" s="1318" t="s">
        <v>435</v>
      </c>
      <c r="B9" s="1319"/>
      <c r="C9" s="1319"/>
      <c r="D9" s="1158" t="s">
        <v>436</v>
      </c>
      <c r="E9" s="1193"/>
      <c r="F9" s="1371" t="s">
        <v>244</v>
      </c>
      <c r="G9" s="1220"/>
      <c r="H9" s="185"/>
      <c r="I9" s="1518"/>
      <c r="J9" s="1518"/>
      <c r="K9" s="1518"/>
      <c r="L9" s="1519"/>
      <c r="M9" s="1338" t="s">
        <v>22</v>
      </c>
      <c r="N9" s="1338"/>
      <c r="O9" s="58"/>
      <c r="P9" s="239"/>
      <c r="Q9" s="1316"/>
      <c r="R9" s="1269"/>
      <c r="S9" s="1269"/>
      <c r="T9" s="1269"/>
      <c r="U9" s="1269"/>
      <c r="V9" s="1269"/>
      <c r="W9" s="1317"/>
      <c r="Y9" s="153" t="s">
        <v>446</v>
      </c>
      <c r="Z9" s="176">
        <f>SUMIF($G$16:$G$41,"CNTY or CTY",$K$16:$K$41)</f>
        <v>0</v>
      </c>
      <c r="AA9" s="176">
        <f>SUMIF($G$16:$G$41,"CNTY or CTY",$S$16:$S$41)</f>
        <v>0</v>
      </c>
    </row>
    <row r="10" spans="1:28" s="57" customFormat="1" ht="16.5" customHeight="1" thickBot="1" x14ac:dyDescent="0.25">
      <c r="A10" s="1152" t="s">
        <v>276</v>
      </c>
      <c r="B10" s="1153"/>
      <c r="C10" s="1153"/>
      <c r="D10" s="1148">
        <f>O6+O10</f>
        <v>0</v>
      </c>
      <c r="E10" s="1149"/>
      <c r="F10" s="1371" t="s">
        <v>20</v>
      </c>
      <c r="G10" s="1220"/>
      <c r="H10" s="185"/>
      <c r="I10" s="1518"/>
      <c r="J10" s="1518"/>
      <c r="K10" s="1518"/>
      <c r="L10" s="1519"/>
      <c r="M10" s="1334" t="s">
        <v>233</v>
      </c>
      <c r="N10" s="1334"/>
      <c r="O10" s="212">
        <f>O8+O9*10</f>
        <v>0</v>
      </c>
      <c r="P10" s="240"/>
      <c r="Q10" s="1311" t="s">
        <v>239</v>
      </c>
      <c r="R10" s="1312"/>
      <c r="S10" s="1312"/>
      <c r="T10" s="1312"/>
      <c r="U10" s="1312"/>
      <c r="V10" s="1312"/>
      <c r="W10" s="1313"/>
      <c r="Y10" s="498" t="s">
        <v>246</v>
      </c>
      <c r="Z10" s="148">
        <f>SUM(Z5:Z9)</f>
        <v>79</v>
      </c>
      <c r="AA10" s="148">
        <f>SUM(AA5:AA9)</f>
        <v>0</v>
      </c>
    </row>
    <row r="11" spans="1:28" s="57" customFormat="1" ht="16.5" customHeight="1" thickBot="1" x14ac:dyDescent="0.25">
      <c r="A11" s="1150" t="s">
        <v>277</v>
      </c>
      <c r="B11" s="1151"/>
      <c r="C11" s="1151"/>
      <c r="D11" s="1146">
        <f>ROUNDUP(D10/10,0)</f>
        <v>0</v>
      </c>
      <c r="E11" s="1147"/>
      <c r="F11" s="1362" t="s">
        <v>21</v>
      </c>
      <c r="G11" s="1173"/>
      <c r="H11" s="186"/>
      <c r="I11" s="1516"/>
      <c r="J11" s="1516"/>
      <c r="K11" s="1516"/>
      <c r="L11" s="1517"/>
      <c r="M11" s="1416" t="s">
        <v>568</v>
      </c>
      <c r="N11" s="1417"/>
      <c r="O11" s="780">
        <f>'1-DUI (Reduce Base)'!P11</f>
        <v>7</v>
      </c>
      <c r="P11" s="240"/>
      <c r="Q11" s="1296" t="s">
        <v>430</v>
      </c>
      <c r="R11" s="1297"/>
      <c r="S11" s="1297"/>
      <c r="T11" s="1297"/>
      <c r="U11" s="1297"/>
      <c r="V11" s="1297"/>
      <c r="W11" s="129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508">
        <v>0.02</v>
      </c>
      <c r="B14" s="508" t="s">
        <v>58</v>
      </c>
      <c r="C14" s="1160" t="s">
        <v>226</v>
      </c>
      <c r="D14" s="1161"/>
      <c r="E14" s="1161"/>
      <c r="F14" s="1162"/>
      <c r="G14" s="505" t="s">
        <v>249</v>
      </c>
      <c r="H14" s="114" t="s">
        <v>0</v>
      </c>
      <c r="I14" s="1360" t="s">
        <v>298</v>
      </c>
      <c r="J14" s="1287" t="s">
        <v>6</v>
      </c>
      <c r="K14" s="504" t="s">
        <v>299</v>
      </c>
      <c r="L14" s="67"/>
      <c r="M14" s="1256" t="s">
        <v>260</v>
      </c>
      <c r="N14" s="1257"/>
      <c r="O14" s="503" t="s">
        <v>248</v>
      </c>
      <c r="P14" s="121"/>
      <c r="Q14" s="690" t="s">
        <v>428</v>
      </c>
      <c r="R14" s="1287" t="s">
        <v>6</v>
      </c>
      <c r="S14" s="504" t="s">
        <v>299</v>
      </c>
      <c r="T14" s="228"/>
      <c r="U14" s="497" t="s">
        <v>256</v>
      </c>
      <c r="V14" s="1289" t="s">
        <v>61</v>
      </c>
      <c r="W14" s="1291" t="s">
        <v>384</v>
      </c>
    </row>
    <row r="15" spans="1:28" ht="30.75" customHeight="1" thickBot="1" x14ac:dyDescent="0.25">
      <c r="A15" s="509"/>
      <c r="B15" s="509"/>
      <c r="C15" s="1163"/>
      <c r="D15" s="1164"/>
      <c r="E15" s="1164"/>
      <c r="F15" s="1165"/>
      <c r="G15" s="507"/>
      <c r="H15" s="507"/>
      <c r="I15" s="1361"/>
      <c r="J15" s="1288"/>
      <c r="K15" s="244" t="s">
        <v>42</v>
      </c>
      <c r="L15" s="68"/>
      <c r="M15" s="1254"/>
      <c r="N15" s="1255"/>
      <c r="O15" s="297" t="s">
        <v>43</v>
      </c>
      <c r="P15" s="121"/>
      <c r="Q15" s="246" t="e">
        <f>(Q35-Q31)/(I35-I31)</f>
        <v>#DIV/0!</v>
      </c>
      <c r="R15" s="1288"/>
      <c r="S15" s="244" t="s">
        <v>44</v>
      </c>
      <c r="T15" s="228"/>
      <c r="U15" s="298" t="s">
        <v>300</v>
      </c>
      <c r="V15" s="1290"/>
      <c r="W15" s="1292"/>
    </row>
    <row r="16" spans="1:28" s="74" customFormat="1" ht="15.75" hidden="1" customHeight="1" thickTop="1" x14ac:dyDescent="0.2">
      <c r="A16" s="69" t="s">
        <v>8</v>
      </c>
      <c r="B16" s="195"/>
      <c r="C16" s="1226"/>
      <c r="D16" s="1226"/>
      <c r="E16" s="1226"/>
      <c r="F16" s="1226"/>
      <c r="G16" s="70"/>
      <c r="H16" s="71"/>
      <c r="I16" s="154"/>
      <c r="J16" s="162"/>
      <c r="K16" s="198"/>
      <c r="L16" s="164"/>
      <c r="M16" s="1271"/>
      <c r="N16" s="127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83"/>
      <c r="D17" s="1240"/>
      <c r="E17" s="1240"/>
      <c r="F17" s="1241"/>
      <c r="G17" s="76"/>
      <c r="H17" s="77"/>
      <c r="I17" s="156"/>
      <c r="J17" s="162"/>
      <c r="K17" s="167"/>
      <c r="L17" s="164"/>
      <c r="M17" s="1183"/>
      <c r="N17" s="118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585" t="s">
        <v>241</v>
      </c>
      <c r="C18" s="1226" t="s">
        <v>438</v>
      </c>
      <c r="D18" s="1226"/>
      <c r="E18" s="1226"/>
      <c r="F18" s="1226"/>
      <c r="G18" s="701" t="str">
        <f>IF(AND($D$9="Yes",$D$8="NA-City Arrest"), "CITY","COUNTY")</f>
        <v>COUNTY</v>
      </c>
      <c r="H18" s="77" t="s">
        <v>318</v>
      </c>
      <c r="I18" s="156">
        <f>$D$10*60%</f>
        <v>0</v>
      </c>
      <c r="J18" s="162">
        <f>IF(A18="Y",I18* 2%,0)</f>
        <v>0</v>
      </c>
      <c r="K18" s="167">
        <f>I18-J18</f>
        <v>0</v>
      </c>
      <c r="L18" s="164"/>
      <c r="M18" s="1183"/>
      <c r="N18" s="1184"/>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585"/>
      <c r="C19" s="1226" t="s">
        <v>439</v>
      </c>
      <c r="D19" s="1226"/>
      <c r="E19" s="1226"/>
      <c r="F19" s="1226"/>
      <c r="G19" s="701" t="str">
        <f>IF(AND($D$9="Yes",$D$8="NA-City Arrest"), "CITY","COUNTY")</f>
        <v>COUNTY</v>
      </c>
      <c r="H19" s="77" t="s">
        <v>318</v>
      </c>
      <c r="I19" s="156">
        <f>$D$10*25%</f>
        <v>0</v>
      </c>
      <c r="J19" s="162">
        <f>IF(A19="Y",I19* 2%,0)</f>
        <v>0</v>
      </c>
      <c r="K19" s="167">
        <f>I19-J19</f>
        <v>0</v>
      </c>
      <c r="L19" s="164"/>
      <c r="M19" s="1183"/>
      <c r="N19" s="1184"/>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356"/>
      <c r="C20" s="1226" t="s">
        <v>440</v>
      </c>
      <c r="D20" s="1226"/>
      <c r="E20" s="1226"/>
      <c r="F20" s="1226"/>
      <c r="G20" s="701" t="str">
        <f>IF($D$8="Yes", "COUNTY", "CITY")</f>
        <v>CITY</v>
      </c>
      <c r="H20" s="77" t="s">
        <v>318</v>
      </c>
      <c r="I20" s="156">
        <f>$D$10*15%</f>
        <v>0</v>
      </c>
      <c r="J20" s="162">
        <f t="shared" ref="J20:J34" si="4">IF(A20="Y",I20* 2%,0)</f>
        <v>0</v>
      </c>
      <c r="K20" s="167">
        <f t="shared" ref="K20:K33" si="5">I20-J20</f>
        <v>0</v>
      </c>
      <c r="L20" s="164"/>
      <c r="M20" s="1183"/>
      <c r="N20" s="1184"/>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172" t="s">
        <v>546</v>
      </c>
      <c r="D21" s="1172"/>
      <c r="E21" s="1172"/>
      <c r="F21" s="1172"/>
      <c r="G21" s="694" t="s">
        <v>31</v>
      </c>
      <c r="H21" s="77" t="s">
        <v>26</v>
      </c>
      <c r="I21" s="155">
        <f>$D$11*B21</f>
        <v>0</v>
      </c>
      <c r="J21" s="162">
        <f t="shared" si="4"/>
        <v>0</v>
      </c>
      <c r="K21" s="167">
        <f t="shared" si="5"/>
        <v>0</v>
      </c>
      <c r="L21" s="164"/>
      <c r="M21" s="1183"/>
      <c r="N21" s="1184"/>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72" t="s">
        <v>547</v>
      </c>
      <c r="D22" s="1172"/>
      <c r="E22" s="1172"/>
      <c r="F22" s="1172"/>
      <c r="G22" s="694" t="s">
        <v>32</v>
      </c>
      <c r="H22" s="77" t="s">
        <v>27</v>
      </c>
      <c r="I22" s="155">
        <f t="shared" ref="I22:I33" si="6">$D$11*B22</f>
        <v>0</v>
      </c>
      <c r="J22" s="162">
        <f t="shared" si="4"/>
        <v>0</v>
      </c>
      <c r="K22" s="167">
        <f t="shared" si="5"/>
        <v>0</v>
      </c>
      <c r="L22" s="164"/>
      <c r="M22" s="1183"/>
      <c r="N22" s="1184"/>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183" t="s">
        <v>216</v>
      </c>
      <c r="D23" s="1240"/>
      <c r="E23" s="1240"/>
      <c r="F23" s="1241"/>
      <c r="G23" s="694" t="s">
        <v>32</v>
      </c>
      <c r="H23" s="77" t="s">
        <v>55</v>
      </c>
      <c r="I23" s="155">
        <f t="shared" si="6"/>
        <v>0</v>
      </c>
      <c r="J23" s="162">
        <f t="shared" si="4"/>
        <v>0</v>
      </c>
      <c r="K23" s="167">
        <f t="shared" si="5"/>
        <v>0</v>
      </c>
      <c r="L23" s="164"/>
      <c r="M23" s="1183"/>
      <c r="N23" s="1184"/>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183" t="s">
        <v>466</v>
      </c>
      <c r="D24" s="1240"/>
      <c r="E24" s="1240"/>
      <c r="F24" s="1241"/>
      <c r="G24" s="694" t="s">
        <v>31</v>
      </c>
      <c r="H24" s="77" t="s">
        <v>72</v>
      </c>
      <c r="I24" s="155">
        <f t="shared" si="6"/>
        <v>0</v>
      </c>
      <c r="J24" s="162">
        <f t="shared" si="4"/>
        <v>0</v>
      </c>
      <c r="K24" s="167">
        <f t="shared" si="5"/>
        <v>0</v>
      </c>
      <c r="L24" s="164"/>
      <c r="M24" s="1183"/>
      <c r="N24" s="1184"/>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6"/>
        <v>0</v>
      </c>
      <c r="J25" s="162">
        <f t="shared" si="4"/>
        <v>0</v>
      </c>
      <c r="K25" s="167">
        <f t="shared" si="5"/>
        <v>0</v>
      </c>
      <c r="L25" s="164"/>
      <c r="M25" s="1183"/>
      <c r="N25" s="1184"/>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72" t="s">
        <v>218</v>
      </c>
      <c r="D26" s="1172"/>
      <c r="E26" s="1281"/>
      <c r="F26" s="1282"/>
      <c r="G26" s="694" t="s">
        <v>32</v>
      </c>
      <c r="H26" s="77" t="s">
        <v>35</v>
      </c>
      <c r="I26" s="155">
        <f t="shared" si="6"/>
        <v>0</v>
      </c>
      <c r="J26" s="162">
        <f t="shared" si="4"/>
        <v>0</v>
      </c>
      <c r="K26" s="167">
        <f t="shared" si="5"/>
        <v>0</v>
      </c>
      <c r="L26" s="164"/>
      <c r="M26" s="1183"/>
      <c r="N26" s="1184"/>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72" t="s">
        <v>219</v>
      </c>
      <c r="D27" s="1172"/>
      <c r="E27" s="1281"/>
      <c r="F27" s="1282"/>
      <c r="G27" s="694" t="s">
        <v>32</v>
      </c>
      <c r="H27" s="77" t="s">
        <v>65</v>
      </c>
      <c r="I27" s="155">
        <f t="shared" si="6"/>
        <v>0</v>
      </c>
      <c r="J27" s="162">
        <f t="shared" si="4"/>
        <v>0</v>
      </c>
      <c r="K27" s="167">
        <f t="shared" si="5"/>
        <v>0</v>
      </c>
      <c r="L27" s="164"/>
      <c r="M27" s="1183"/>
      <c r="N27" s="1184"/>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72" t="s">
        <v>401</v>
      </c>
      <c r="D28" s="1172"/>
      <c r="E28" s="1281"/>
      <c r="F28" s="1282"/>
      <c r="G28" s="694" t="s">
        <v>32</v>
      </c>
      <c r="H28" s="77" t="s">
        <v>65</v>
      </c>
      <c r="I28" s="155">
        <f>$D$11*B28</f>
        <v>0</v>
      </c>
      <c r="J28" s="162">
        <f>IF(A28="Y",I28* 2%,0)</f>
        <v>0</v>
      </c>
      <c r="K28" s="167">
        <f>I28-J28</f>
        <v>0</v>
      </c>
      <c r="L28" s="164"/>
      <c r="M28" s="1183"/>
      <c r="N28" s="1184"/>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72" t="s">
        <v>254</v>
      </c>
      <c r="D29" s="1172"/>
      <c r="E29" s="1283"/>
      <c r="F29" s="1284"/>
      <c r="G29" s="694" t="s">
        <v>32</v>
      </c>
      <c r="H29" s="77"/>
      <c r="I29" s="155">
        <f t="shared" si="6"/>
        <v>0</v>
      </c>
      <c r="J29" s="162">
        <f t="shared" si="4"/>
        <v>0</v>
      </c>
      <c r="K29" s="167">
        <f t="shared" si="5"/>
        <v>0</v>
      </c>
      <c r="L29" s="164"/>
      <c r="M29" s="1183"/>
      <c r="N29" s="1184"/>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54" t="s">
        <v>286</v>
      </c>
      <c r="D30" s="1155"/>
      <c r="E30" s="1155"/>
      <c r="F30" s="1232"/>
      <c r="G30" s="702" t="s">
        <v>32</v>
      </c>
      <c r="H30" s="84" t="s">
        <v>36</v>
      </c>
      <c r="I30" s="155">
        <f t="shared" si="6"/>
        <v>0</v>
      </c>
      <c r="J30" s="162">
        <f t="shared" si="4"/>
        <v>0</v>
      </c>
      <c r="K30" s="167">
        <f t="shared" si="5"/>
        <v>0</v>
      </c>
      <c r="L30" s="164"/>
      <c r="M30" s="1183"/>
      <c r="N30" s="1184"/>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54" t="s">
        <v>385</v>
      </c>
      <c r="D31" s="1155"/>
      <c r="E31" s="1155"/>
      <c r="F31" s="1232"/>
      <c r="G31" s="702" t="s">
        <v>31</v>
      </c>
      <c r="H31" s="91" t="s">
        <v>39</v>
      </c>
      <c r="I31" s="204">
        <v>4</v>
      </c>
      <c r="J31" s="162">
        <f>IF(A31="Y", I31*2%,0)</f>
        <v>0.08</v>
      </c>
      <c r="K31" s="167">
        <f>I31-J31</f>
        <v>3.92</v>
      </c>
      <c r="L31" s="164"/>
      <c r="M31" s="1183"/>
      <c r="N31" s="1184"/>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154" t="s">
        <v>555</v>
      </c>
      <c r="D32" s="1155"/>
      <c r="E32" s="1232"/>
      <c r="F32" s="1088" t="s">
        <v>281</v>
      </c>
      <c r="G32" s="702" t="s">
        <v>31</v>
      </c>
      <c r="H32" s="84" t="s">
        <v>37</v>
      </c>
      <c r="I32" s="155">
        <f t="shared" si="6"/>
        <v>0</v>
      </c>
      <c r="J32" s="162">
        <f t="shared" si="4"/>
        <v>0</v>
      </c>
      <c r="K32" s="167">
        <f t="shared" si="5"/>
        <v>0</v>
      </c>
      <c r="L32" s="164"/>
      <c r="M32" s="1183"/>
      <c r="N32" s="1184"/>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154" t="s">
        <v>556</v>
      </c>
      <c r="D33" s="1155"/>
      <c r="E33" s="1232"/>
      <c r="F33" s="1089"/>
      <c r="G33" s="702" t="s">
        <v>31</v>
      </c>
      <c r="H33" s="84" t="s">
        <v>197</v>
      </c>
      <c r="I33" s="155">
        <f t="shared" si="6"/>
        <v>0</v>
      </c>
      <c r="J33" s="162">
        <f t="shared" si="4"/>
        <v>0</v>
      </c>
      <c r="K33" s="167">
        <f t="shared" si="5"/>
        <v>0</v>
      </c>
      <c r="L33" s="164"/>
      <c r="M33" s="1183"/>
      <c r="N33" s="1184"/>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54" t="s">
        <v>220</v>
      </c>
      <c r="D34" s="1155"/>
      <c r="E34" s="1155"/>
      <c r="F34" s="1232"/>
      <c r="G34" s="702" t="s">
        <v>31</v>
      </c>
      <c r="H34" s="84" t="s">
        <v>10</v>
      </c>
      <c r="I34" s="155">
        <f>$D$10*20%</f>
        <v>0</v>
      </c>
      <c r="J34" s="162">
        <f t="shared" si="4"/>
        <v>0</v>
      </c>
      <c r="K34" s="167">
        <f>I34-J34</f>
        <v>0</v>
      </c>
      <c r="L34" s="164"/>
      <c r="M34" s="1183"/>
      <c r="N34" s="1184"/>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229" t="s">
        <v>221</v>
      </c>
      <c r="D35" s="1230"/>
      <c r="E35" s="1230"/>
      <c r="F35" s="1231"/>
      <c r="G35" s="703"/>
      <c r="H35" s="88"/>
      <c r="I35" s="157">
        <f>SUM(I16:I34)</f>
        <v>4</v>
      </c>
      <c r="J35" s="162"/>
      <c r="K35" s="168">
        <f>SUM(K16:K34)</f>
        <v>3.92</v>
      </c>
      <c r="L35" s="165"/>
      <c r="M35" s="1154"/>
      <c r="N35" s="1239"/>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54" t="s">
        <v>419</v>
      </c>
      <c r="D36" s="1155"/>
      <c r="E36" s="1155"/>
      <c r="F36" s="1232"/>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233" t="s">
        <v>259</v>
      </c>
      <c r="D37" s="1234"/>
      <c r="E37" s="1234"/>
      <c r="F37" s="1235"/>
      <c r="G37" s="704" t="s">
        <v>31</v>
      </c>
      <c r="H37" s="92" t="s">
        <v>197</v>
      </c>
      <c r="I37" s="204">
        <v>35</v>
      </c>
      <c r="J37" s="162">
        <f t="shared" ref="J37:J40" si="8">IF(A37="Y", I37*2%,0)</f>
        <v>0</v>
      </c>
      <c r="K37" s="167">
        <f t="shared" ref="K37:K40" si="9">I37-J37</f>
        <v>35</v>
      </c>
      <c r="L37" s="164"/>
      <c r="M37" s="1183"/>
      <c r="N37" s="1184"/>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233" t="s">
        <v>421</v>
      </c>
      <c r="D38" s="1234"/>
      <c r="E38" s="1234"/>
      <c r="F38" s="1235"/>
      <c r="G38" s="704" t="s">
        <v>230</v>
      </c>
      <c r="H38" s="92" t="s">
        <v>24</v>
      </c>
      <c r="I38" s="204"/>
      <c r="J38" s="162">
        <f t="shared" si="8"/>
        <v>0</v>
      </c>
      <c r="K38" s="167">
        <f t="shared" si="9"/>
        <v>0</v>
      </c>
      <c r="L38" s="164"/>
      <c r="M38" s="1183"/>
      <c r="N38" s="1184"/>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154" t="s">
        <v>517</v>
      </c>
      <c r="D39" s="1155"/>
      <c r="E39" s="1155"/>
      <c r="F39" s="1232"/>
      <c r="G39" s="704" t="s">
        <v>230</v>
      </c>
      <c r="H39" s="92" t="s">
        <v>82</v>
      </c>
      <c r="I39" s="204"/>
      <c r="J39" s="162">
        <f t="shared" si="8"/>
        <v>0</v>
      </c>
      <c r="K39" s="167">
        <f t="shared" si="9"/>
        <v>0</v>
      </c>
      <c r="L39" s="164"/>
      <c r="M39" s="1183"/>
      <c r="N39" s="1184"/>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233" t="s">
        <v>225</v>
      </c>
      <c r="D40" s="1234"/>
      <c r="E40" s="1234"/>
      <c r="F40" s="1235"/>
      <c r="G40" s="704" t="s">
        <v>31</v>
      </c>
      <c r="H40" s="92" t="s">
        <v>80</v>
      </c>
      <c r="I40" s="204"/>
      <c r="J40" s="162">
        <f t="shared" si="8"/>
        <v>0</v>
      </c>
      <c r="K40" s="167">
        <f t="shared" si="9"/>
        <v>0</v>
      </c>
      <c r="L40" s="164"/>
      <c r="M40" s="1183"/>
      <c r="N40" s="1184"/>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183" t="s">
        <v>492</v>
      </c>
      <c r="D41" s="1240"/>
      <c r="E41" s="1240"/>
      <c r="F41" s="1241"/>
      <c r="G41" s="705" t="s">
        <v>31</v>
      </c>
      <c r="H41" s="96" t="s">
        <v>41</v>
      </c>
      <c r="I41" s="97"/>
      <c r="J41" s="163"/>
      <c r="K41" s="169">
        <f>J42</f>
        <v>0.08</v>
      </c>
      <c r="L41" s="164"/>
      <c r="M41" s="1183"/>
      <c r="N41" s="1184"/>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76" t="s">
        <v>61</v>
      </c>
      <c r="B44" s="1276"/>
      <c r="C44" s="1276"/>
      <c r="D44" s="210"/>
      <c r="E44" s="133"/>
      <c r="F44" s="133"/>
      <c r="K44" s="135"/>
      <c r="L44" s="136"/>
      <c r="P44" s="137"/>
      <c r="Q44" s="137"/>
      <c r="R44" s="137"/>
      <c r="S44" s="137"/>
      <c r="T44" s="137"/>
      <c r="U44" s="138"/>
      <c r="V44" s="138"/>
      <c r="W44" s="139"/>
    </row>
    <row r="45" spans="1:28" s="141" customFormat="1" ht="18" customHeight="1" x14ac:dyDescent="0.2">
      <c r="A45" s="769">
        <v>1</v>
      </c>
      <c r="B45" s="1145"/>
      <c r="C45" s="1145"/>
      <c r="D45" s="1145"/>
      <c r="E45" s="1145"/>
      <c r="F45" s="1145"/>
      <c r="G45" s="1145"/>
      <c r="H45" s="1145"/>
      <c r="I45" s="1145"/>
      <c r="J45" s="1145"/>
      <c r="K45" s="1145"/>
      <c r="L45" s="1145"/>
      <c r="M45" s="1145"/>
      <c r="N45" s="1145"/>
      <c r="O45" s="1145"/>
      <c r="P45" s="1145"/>
      <c r="Q45" s="1145"/>
      <c r="R45" s="1145"/>
      <c r="S45" s="1145"/>
      <c r="T45" s="1145"/>
      <c r="U45" s="1145"/>
      <c r="V45" s="1145"/>
      <c r="W45" s="1145"/>
      <c r="X45" s="553"/>
    </row>
    <row r="46" spans="1:28" s="141" customFormat="1" ht="18" customHeight="1" x14ac:dyDescent="0.2">
      <c r="A46" s="769">
        <v>2</v>
      </c>
      <c r="B46" s="1145"/>
      <c r="C46" s="1145"/>
      <c r="D46" s="1145"/>
      <c r="E46" s="1145"/>
      <c r="F46" s="1145"/>
      <c r="G46" s="1145"/>
      <c r="H46" s="1145"/>
      <c r="I46" s="1145"/>
      <c r="J46" s="1145"/>
      <c r="K46" s="1145"/>
      <c r="L46" s="1145"/>
      <c r="M46" s="1145"/>
      <c r="N46" s="1145"/>
      <c r="O46" s="1145"/>
      <c r="P46" s="1145"/>
      <c r="Q46" s="1145"/>
      <c r="R46" s="1145"/>
      <c r="S46" s="1145"/>
      <c r="T46" s="1145"/>
      <c r="U46" s="1145"/>
      <c r="V46" s="1145"/>
      <c r="W46" s="1145"/>
    </row>
    <row r="47" spans="1:28" s="141" customFormat="1" ht="18" customHeight="1" x14ac:dyDescent="0.2">
      <c r="A47" s="769">
        <v>3</v>
      </c>
      <c r="B47" s="1145"/>
      <c r="C47" s="1145"/>
      <c r="D47" s="1145"/>
      <c r="E47" s="1145"/>
      <c r="F47" s="1145"/>
      <c r="G47" s="1145"/>
      <c r="H47" s="1145"/>
      <c r="I47" s="1145"/>
      <c r="J47" s="1145"/>
      <c r="K47" s="1145"/>
      <c r="L47" s="1145"/>
      <c r="M47" s="1145"/>
      <c r="N47" s="1145"/>
      <c r="O47" s="1145"/>
      <c r="P47" s="1145"/>
      <c r="Q47" s="1145"/>
      <c r="R47" s="1145"/>
      <c r="S47" s="1145"/>
      <c r="T47" s="1145"/>
      <c r="U47" s="1145"/>
      <c r="V47" s="1145"/>
      <c r="W47" s="1145"/>
    </row>
    <row r="48" spans="1:28" s="54" customFormat="1" ht="21" customHeight="1" x14ac:dyDescent="0.2">
      <c r="A48" s="769">
        <v>4</v>
      </c>
      <c r="B48" s="1145"/>
      <c r="C48" s="1145"/>
      <c r="D48" s="1145"/>
      <c r="E48" s="1145"/>
      <c r="F48" s="1145"/>
      <c r="G48" s="1145"/>
      <c r="H48" s="1145"/>
      <c r="I48" s="1145"/>
      <c r="J48" s="1145"/>
      <c r="K48" s="1145"/>
      <c r="L48" s="1145"/>
      <c r="M48" s="1145"/>
      <c r="N48" s="1145"/>
      <c r="O48" s="1145"/>
      <c r="P48" s="1145"/>
      <c r="Q48" s="1145"/>
      <c r="R48" s="1145"/>
      <c r="S48" s="1145"/>
      <c r="T48" s="1145"/>
      <c r="U48" s="1145"/>
      <c r="V48" s="1145"/>
      <c r="W48" s="1145"/>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060" t="s">
        <v>521</v>
      </c>
      <c r="B1" s="1060"/>
      <c r="C1" s="1060"/>
      <c r="D1" s="1060"/>
      <c r="E1" s="1060"/>
      <c r="F1" s="1060"/>
      <c r="G1" s="1060"/>
      <c r="H1" s="1060"/>
      <c r="I1" s="1060"/>
      <c r="J1" s="1060"/>
      <c r="K1" s="1060"/>
      <c r="L1" s="1060"/>
      <c r="M1" s="1060"/>
      <c r="N1" s="1060"/>
      <c r="O1" s="1060"/>
      <c r="P1" s="1060"/>
      <c r="Q1" s="1060"/>
    </row>
    <row r="2" spans="1:17" s="741" customFormat="1" ht="94.5" customHeight="1" x14ac:dyDescent="0.2">
      <c r="A2" s="1061" t="s">
        <v>543</v>
      </c>
      <c r="B2" s="1061"/>
      <c r="C2" s="1061"/>
      <c r="D2" s="1061"/>
      <c r="E2" s="1061"/>
      <c r="F2" s="1061"/>
      <c r="G2" s="1061"/>
      <c r="H2" s="1061"/>
      <c r="I2" s="1061"/>
      <c r="J2" s="1061"/>
      <c r="K2" s="1061"/>
      <c r="L2" s="1061"/>
      <c r="M2" s="1061"/>
      <c r="N2" s="1061"/>
      <c r="O2" s="1061"/>
      <c r="P2" s="1061"/>
      <c r="Q2" s="1061"/>
    </row>
    <row r="3" spans="1:17" s="759" customFormat="1" ht="78.75" customHeight="1" x14ac:dyDescent="0.2">
      <c r="A3" s="1062" t="s">
        <v>557</v>
      </c>
      <c r="B3" s="1063"/>
      <c r="C3" s="1063"/>
      <c r="D3" s="1063"/>
      <c r="E3" s="1063"/>
      <c r="F3" s="1063"/>
      <c r="G3" s="1063"/>
      <c r="H3" s="1063"/>
      <c r="I3" s="1063"/>
      <c r="J3" s="1063"/>
      <c r="K3" s="1063"/>
      <c r="L3" s="1063"/>
      <c r="M3" s="1063"/>
      <c r="N3" s="1063"/>
      <c r="O3" s="1063"/>
      <c r="P3" s="1063"/>
      <c r="Q3" s="1063"/>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064" t="s">
        <v>545</v>
      </c>
      <c r="B5" s="1064"/>
      <c r="C5" s="1064"/>
      <c r="D5" s="1064"/>
      <c r="E5" s="1064"/>
      <c r="F5" s="1064"/>
      <c r="G5" s="1064"/>
      <c r="H5" s="1064"/>
      <c r="I5" s="1064"/>
      <c r="J5" s="1064"/>
      <c r="K5" s="1064"/>
      <c r="L5" s="1064"/>
      <c r="M5" s="1064"/>
      <c r="N5" s="1064"/>
      <c r="O5" s="1064"/>
      <c r="P5" s="1064"/>
      <c r="Q5" s="1064"/>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065" t="s">
        <v>544</v>
      </c>
      <c r="B8" s="1065"/>
      <c r="C8" s="1065"/>
      <c r="D8" s="1065"/>
      <c r="E8" s="1065"/>
      <c r="F8" s="1065"/>
      <c r="G8" s="1065"/>
      <c r="H8" s="1065"/>
      <c r="I8" s="1065"/>
      <c r="J8" s="1065"/>
      <c r="K8" s="1065"/>
      <c r="L8" s="1065"/>
      <c r="M8" s="1065"/>
      <c r="N8" s="1065"/>
      <c r="O8" s="1065"/>
      <c r="P8" s="1065"/>
      <c r="Q8" s="1065"/>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87" t="s">
        <v>441</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6"/>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78" t="s">
        <v>28</v>
      </c>
      <c r="G4" s="1198"/>
      <c r="H4" s="187"/>
      <c r="I4" s="1520" t="s">
        <v>387</v>
      </c>
      <c r="J4" s="1520"/>
      <c r="K4" s="1520"/>
      <c r="L4" s="1521"/>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371" t="s">
        <v>244</v>
      </c>
      <c r="G5" s="1220"/>
      <c r="H5" s="185"/>
      <c r="I5" s="1518" t="s">
        <v>388</v>
      </c>
      <c r="J5" s="1518"/>
      <c r="K5" s="1518"/>
      <c r="L5" s="1519"/>
      <c r="M5" s="1338" t="s">
        <v>22</v>
      </c>
      <c r="N5" s="1338"/>
      <c r="O5" s="58"/>
      <c r="P5" s="238"/>
      <c r="Q5" s="1339" t="s">
        <v>302</v>
      </c>
      <c r="R5" s="1340"/>
      <c r="S5" s="1340"/>
      <c r="T5" s="1340"/>
      <c r="U5" s="1340"/>
      <c r="V5" s="1340"/>
      <c r="W5" s="1341"/>
      <c r="Y5" s="172" t="s">
        <v>31</v>
      </c>
      <c r="Z5" s="176">
        <f>SUMIF($G$16:$G$46,"STATE",$K$16:$K$46)</f>
        <v>82</v>
      </c>
      <c r="AA5" s="176">
        <f>SUMIF($G$16:$G$46,"STATE",$S$16:$S$46)</f>
        <v>0</v>
      </c>
    </row>
    <row r="6" spans="1:28" s="57" customFormat="1" ht="16.5" thickBot="1" x14ac:dyDescent="0.25">
      <c r="A6" s="1200" t="s">
        <v>12</v>
      </c>
      <c r="B6" s="1201"/>
      <c r="C6" s="1201"/>
      <c r="D6" s="1221"/>
      <c r="E6" s="1333"/>
      <c r="F6" s="1371" t="s">
        <v>20</v>
      </c>
      <c r="G6" s="1220"/>
      <c r="H6" s="185"/>
      <c r="I6" s="1518" t="s">
        <v>389</v>
      </c>
      <c r="J6" s="1518"/>
      <c r="K6" s="1518"/>
      <c r="L6" s="1519"/>
      <c r="M6" s="1334" t="s">
        <v>233</v>
      </c>
      <c r="N6" s="1334"/>
      <c r="O6" s="212">
        <f>O4+O5*10</f>
        <v>0</v>
      </c>
      <c r="P6" s="238"/>
      <c r="Q6" s="1335" t="s">
        <v>573</v>
      </c>
      <c r="R6" s="1336"/>
      <c r="S6" s="1336"/>
      <c r="T6" s="1336"/>
      <c r="U6" s="1336"/>
      <c r="V6" s="1336"/>
      <c r="W6" s="1337"/>
      <c r="Y6" s="172" t="s">
        <v>32</v>
      </c>
      <c r="Z6" s="176">
        <f>SUMIF($G$16:$G$46,"COUNTY",$K$16:$K$46)</f>
        <v>49</v>
      </c>
      <c r="AA6" s="176">
        <f>SUMIF($G$16:$G$46,"COUNTY",$S$16:$S$46)</f>
        <v>0</v>
      </c>
    </row>
    <row r="7" spans="1:28" s="57" customFormat="1" ht="16.5" thickBot="1" x14ac:dyDescent="0.25">
      <c r="A7" s="1200" t="s">
        <v>5</v>
      </c>
      <c r="B7" s="1201"/>
      <c r="C7" s="1201"/>
      <c r="D7" s="1158"/>
      <c r="E7" s="1193"/>
      <c r="F7" s="1362" t="s">
        <v>21</v>
      </c>
      <c r="G7" s="1173"/>
      <c r="H7" s="186"/>
      <c r="I7" s="1516" t="s">
        <v>66</v>
      </c>
      <c r="J7" s="1516"/>
      <c r="K7" s="1516"/>
      <c r="L7" s="1517"/>
      <c r="M7" s="235"/>
      <c r="N7" s="242"/>
      <c r="O7" s="236"/>
      <c r="P7" s="238"/>
      <c r="Q7" s="1323" t="s">
        <v>235</v>
      </c>
      <c r="R7" s="1324"/>
      <c r="S7" s="1324"/>
      <c r="T7" s="1324"/>
      <c r="U7" s="1324"/>
      <c r="V7" s="1324"/>
      <c r="W7" s="1325"/>
      <c r="Y7" s="172" t="s">
        <v>52</v>
      </c>
      <c r="Z7" s="176">
        <f>SUMIF($G$16:$G$46,"CITY",$K$16:$K$46)</f>
        <v>0</v>
      </c>
      <c r="AA7" s="176">
        <f>SUMIF($G$16:$G$46,"CITY",$S$16:$S$46)</f>
        <v>0</v>
      </c>
    </row>
    <row r="8" spans="1:28" s="57" customFormat="1" ht="15.75" customHeight="1" x14ac:dyDescent="0.2">
      <c r="A8" s="1326" t="s">
        <v>434</v>
      </c>
      <c r="B8" s="1327"/>
      <c r="C8" s="1327"/>
      <c r="D8" s="1158" t="s">
        <v>436</v>
      </c>
      <c r="E8" s="1193"/>
      <c r="F8" s="1378" t="s">
        <v>253</v>
      </c>
      <c r="G8" s="1198"/>
      <c r="H8" s="187"/>
      <c r="I8" s="1520"/>
      <c r="J8" s="1520"/>
      <c r="K8" s="1520"/>
      <c r="L8" s="1521"/>
      <c r="M8" s="1373" t="s">
        <v>257</v>
      </c>
      <c r="N8" s="1373"/>
      <c r="O8" s="55"/>
      <c r="P8" s="239"/>
      <c r="Q8" s="1314" t="s">
        <v>303</v>
      </c>
      <c r="R8" s="1266"/>
      <c r="S8" s="1266"/>
      <c r="T8" s="1266"/>
      <c r="U8" s="1266"/>
      <c r="V8" s="1266"/>
      <c r="W8" s="1315"/>
      <c r="Y8" s="172" t="s">
        <v>230</v>
      </c>
      <c r="Z8" s="176">
        <f>SUMIF($G$16:$G$46,"COURT",$K$16:$K$46)</f>
        <v>0</v>
      </c>
      <c r="AA8" s="176">
        <f>SUMIF($G$16:$G$46,"COURT",$S$16:$S$46)</f>
        <v>0</v>
      </c>
    </row>
    <row r="9" spans="1:28" s="57" customFormat="1" ht="18" customHeight="1" thickBot="1" x14ac:dyDescent="0.25">
      <c r="A9" s="1318" t="s">
        <v>435</v>
      </c>
      <c r="B9" s="1319"/>
      <c r="C9" s="1319"/>
      <c r="D9" s="1158" t="s">
        <v>437</v>
      </c>
      <c r="E9" s="1193"/>
      <c r="F9" s="1371" t="s">
        <v>244</v>
      </c>
      <c r="G9" s="1220"/>
      <c r="H9" s="185"/>
      <c r="I9" s="1518"/>
      <c r="J9" s="1518"/>
      <c r="K9" s="1518"/>
      <c r="L9" s="1519"/>
      <c r="M9" s="1338" t="s">
        <v>22</v>
      </c>
      <c r="N9" s="1338"/>
      <c r="O9" s="58"/>
      <c r="P9" s="239"/>
      <c r="Q9" s="1316"/>
      <c r="R9" s="1269"/>
      <c r="S9" s="1269"/>
      <c r="T9" s="1269"/>
      <c r="U9" s="1269"/>
      <c r="V9" s="1269"/>
      <c r="W9" s="1317"/>
      <c r="Y9" s="153" t="s">
        <v>446</v>
      </c>
      <c r="Z9" s="176">
        <f>SUMIF($G$16:$G$46,"CNTY or CTY",$K$16:$K$46)</f>
        <v>0</v>
      </c>
      <c r="AA9" s="176">
        <f>SUMIF($G$16:$G$46,"CNTY or CTY",$S$16:$S$46)</f>
        <v>0</v>
      </c>
    </row>
    <row r="10" spans="1:28" s="57" customFormat="1" ht="16.5" customHeight="1" thickBot="1" x14ac:dyDescent="0.25">
      <c r="A10" s="1152" t="s">
        <v>276</v>
      </c>
      <c r="B10" s="1153"/>
      <c r="C10" s="1153"/>
      <c r="D10" s="1148">
        <f>O6+O10</f>
        <v>0</v>
      </c>
      <c r="E10" s="1149"/>
      <c r="F10" s="1371" t="s">
        <v>20</v>
      </c>
      <c r="G10" s="1220"/>
      <c r="H10" s="185"/>
      <c r="I10" s="1518"/>
      <c r="J10" s="1518"/>
      <c r="K10" s="1518"/>
      <c r="L10" s="1519"/>
      <c r="M10" s="1334" t="s">
        <v>233</v>
      </c>
      <c r="N10" s="1334"/>
      <c r="O10" s="212">
        <f>O8+O9*10</f>
        <v>0</v>
      </c>
      <c r="P10" s="240"/>
      <c r="Q10" s="1311" t="s">
        <v>239</v>
      </c>
      <c r="R10" s="1312"/>
      <c r="S10" s="1312"/>
      <c r="T10" s="1312"/>
      <c r="U10" s="1312"/>
      <c r="V10" s="1312"/>
      <c r="W10" s="1313"/>
      <c r="Y10" s="522" t="s">
        <v>246</v>
      </c>
      <c r="Z10" s="148">
        <f>SUM(Z5:Z9)</f>
        <v>131</v>
      </c>
      <c r="AA10" s="148">
        <f>SUM(AA5:AA9)</f>
        <v>0</v>
      </c>
    </row>
    <row r="11" spans="1:28" s="57" customFormat="1" ht="16.5" customHeight="1" thickBot="1" x14ac:dyDescent="0.25">
      <c r="A11" s="1150" t="s">
        <v>277</v>
      </c>
      <c r="B11" s="1151"/>
      <c r="C11" s="1151"/>
      <c r="D11" s="1146">
        <f>ROUNDUP(D10/10,0)</f>
        <v>0</v>
      </c>
      <c r="E11" s="1147"/>
      <c r="F11" s="1362" t="s">
        <v>21</v>
      </c>
      <c r="G11" s="1173"/>
      <c r="H11" s="186"/>
      <c r="I11" s="1516"/>
      <c r="J11" s="1516"/>
      <c r="K11" s="1516"/>
      <c r="L11" s="1517"/>
      <c r="M11" s="1416" t="s">
        <v>568</v>
      </c>
      <c r="N11" s="1448"/>
      <c r="O11" s="780">
        <f>'1-DUI (Reduce Base)'!P11</f>
        <v>7</v>
      </c>
      <c r="P11" s="240"/>
      <c r="Q11" s="1296" t="s">
        <v>430</v>
      </c>
      <c r="R11" s="1297"/>
      <c r="S11" s="1297"/>
      <c r="T11" s="1297"/>
      <c r="U11" s="1297"/>
      <c r="V11" s="1297"/>
      <c r="W11" s="1298"/>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529">
        <v>0.02</v>
      </c>
      <c r="B14" s="529" t="s">
        <v>58</v>
      </c>
      <c r="C14" s="1160" t="s">
        <v>226</v>
      </c>
      <c r="D14" s="1161"/>
      <c r="E14" s="1161"/>
      <c r="F14" s="1162"/>
      <c r="G14" s="527" t="s">
        <v>249</v>
      </c>
      <c r="H14" s="114" t="s">
        <v>0</v>
      </c>
      <c r="I14" s="1360" t="s">
        <v>298</v>
      </c>
      <c r="J14" s="1287" t="s">
        <v>6</v>
      </c>
      <c r="K14" s="526" t="s">
        <v>299</v>
      </c>
      <c r="L14" s="67"/>
      <c r="M14" s="1256" t="s">
        <v>260</v>
      </c>
      <c r="N14" s="1257"/>
      <c r="O14" s="525" t="s">
        <v>248</v>
      </c>
      <c r="P14" s="121"/>
      <c r="Q14" s="690" t="s">
        <v>428</v>
      </c>
      <c r="R14" s="1287" t="s">
        <v>6</v>
      </c>
      <c r="S14" s="526" t="s">
        <v>299</v>
      </c>
      <c r="T14" s="228"/>
      <c r="U14" s="521" t="s">
        <v>256</v>
      </c>
      <c r="V14" s="1289" t="s">
        <v>61</v>
      </c>
      <c r="W14" s="1291" t="s">
        <v>384</v>
      </c>
    </row>
    <row r="15" spans="1:28" ht="30.75" customHeight="1" thickBot="1" x14ac:dyDescent="0.25">
      <c r="A15" s="530"/>
      <c r="B15" s="530"/>
      <c r="C15" s="1163"/>
      <c r="D15" s="1164"/>
      <c r="E15" s="1164"/>
      <c r="F15" s="1165"/>
      <c r="G15" s="528"/>
      <c r="H15" s="528"/>
      <c r="I15" s="1361"/>
      <c r="J15" s="1288"/>
      <c r="K15" s="244" t="s">
        <v>42</v>
      </c>
      <c r="L15" s="68"/>
      <c r="M15" s="1254"/>
      <c r="N15" s="1255"/>
      <c r="O15" s="297" t="s">
        <v>43</v>
      </c>
      <c r="P15" s="121"/>
      <c r="Q15" s="246" t="e">
        <f>(Q35-Q31)/(I35-I31)</f>
        <v>#DIV/0!</v>
      </c>
      <c r="R15" s="1288"/>
      <c r="S15" s="244" t="s">
        <v>44</v>
      </c>
      <c r="T15" s="228"/>
      <c r="U15" s="298" t="s">
        <v>300</v>
      </c>
      <c r="V15" s="1290"/>
      <c r="W15" s="1292"/>
    </row>
    <row r="16" spans="1:28" s="74" customFormat="1" ht="15.75" hidden="1" customHeight="1" thickTop="1" x14ac:dyDescent="0.2">
      <c r="A16" s="69" t="s">
        <v>8</v>
      </c>
      <c r="B16" s="195"/>
      <c r="C16" s="1226"/>
      <c r="D16" s="1226"/>
      <c r="E16" s="1226"/>
      <c r="F16" s="1226"/>
      <c r="G16" s="70"/>
      <c r="H16" s="71"/>
      <c r="I16" s="154"/>
      <c r="J16" s="162"/>
      <c r="K16" s="198"/>
      <c r="L16" s="164"/>
      <c r="M16" s="1271"/>
      <c r="N16" s="127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83"/>
      <c r="D17" s="1240"/>
      <c r="E17" s="1240"/>
      <c r="F17" s="1241"/>
      <c r="G17" s="76"/>
      <c r="H17" s="77"/>
      <c r="I17" s="156"/>
      <c r="J17" s="162"/>
      <c r="K17" s="167"/>
      <c r="L17" s="164"/>
      <c r="M17" s="1183"/>
      <c r="N17" s="118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585" t="s">
        <v>241</v>
      </c>
      <c r="C18" s="1226" t="s">
        <v>438</v>
      </c>
      <c r="D18" s="1226"/>
      <c r="E18" s="1226"/>
      <c r="F18" s="1226"/>
      <c r="G18" s="701" t="str">
        <f>IF(AND($D$9="Yes",$D$8="NA-City Arrest"), "CITY","COUNTY")</f>
        <v>COUNTY</v>
      </c>
      <c r="H18" s="77" t="s">
        <v>318</v>
      </c>
      <c r="I18" s="156">
        <f>$D$10*60%</f>
        <v>0</v>
      </c>
      <c r="J18" s="162">
        <f>IF(A18="Y",I18* 2%,0)</f>
        <v>0</v>
      </c>
      <c r="K18" s="167">
        <f>I18-J18</f>
        <v>0</v>
      </c>
      <c r="L18" s="164"/>
      <c r="M18" s="1183"/>
      <c r="N18" s="1184"/>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585"/>
      <c r="C19" s="1226" t="s">
        <v>439</v>
      </c>
      <c r="D19" s="1226"/>
      <c r="E19" s="1226"/>
      <c r="F19" s="1226"/>
      <c r="G19" s="701" t="str">
        <f>IF(AND($D$9="Yes",$D$8="NA-City Arrest"), "CITY","COUNTY")</f>
        <v>COUNTY</v>
      </c>
      <c r="H19" s="77" t="s">
        <v>318</v>
      </c>
      <c r="I19" s="156">
        <f>$D$10*25%</f>
        <v>0</v>
      </c>
      <c r="J19" s="162">
        <f>IF(A19="Y",I19* 2%,0)</f>
        <v>0</v>
      </c>
      <c r="K19" s="167">
        <f>I19-J19</f>
        <v>0</v>
      </c>
      <c r="L19" s="164"/>
      <c r="M19" s="1183"/>
      <c r="N19" s="1184"/>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356"/>
      <c r="C20" s="1226" t="s">
        <v>440</v>
      </c>
      <c r="D20" s="1226"/>
      <c r="E20" s="1226"/>
      <c r="F20" s="1226"/>
      <c r="G20" s="701" t="str">
        <f>IF($D$8="Yes", "COUNTY", "CITY")</f>
        <v>COUNTY</v>
      </c>
      <c r="H20" s="77" t="s">
        <v>318</v>
      </c>
      <c r="I20" s="156">
        <f>$D$10*15%</f>
        <v>0</v>
      </c>
      <c r="J20" s="162">
        <f t="shared" ref="J20:J34" si="4">IF(A20="Y",I20* 2%,0)</f>
        <v>0</v>
      </c>
      <c r="K20" s="167">
        <f t="shared" ref="K20:K33" si="5">I20-J20</f>
        <v>0</v>
      </c>
      <c r="L20" s="164"/>
      <c r="M20" s="1183"/>
      <c r="N20" s="1184"/>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172" t="s">
        <v>546</v>
      </c>
      <c r="D21" s="1172"/>
      <c r="E21" s="1172"/>
      <c r="F21" s="1172"/>
      <c r="G21" s="694" t="s">
        <v>31</v>
      </c>
      <c r="H21" s="77" t="s">
        <v>26</v>
      </c>
      <c r="I21" s="155">
        <f>$D$11*B21</f>
        <v>0</v>
      </c>
      <c r="J21" s="162">
        <f t="shared" si="4"/>
        <v>0</v>
      </c>
      <c r="K21" s="167">
        <f t="shared" si="5"/>
        <v>0</v>
      </c>
      <c r="L21" s="164"/>
      <c r="M21" s="1183"/>
      <c r="N21" s="1184"/>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172" t="s">
        <v>547</v>
      </c>
      <c r="D22" s="1172"/>
      <c r="E22" s="1172"/>
      <c r="F22" s="1172"/>
      <c r="G22" s="694" t="s">
        <v>32</v>
      </c>
      <c r="H22" s="77" t="s">
        <v>27</v>
      </c>
      <c r="I22" s="155">
        <f t="shared" ref="I22:I33" si="6">$D$11*B22</f>
        <v>0</v>
      </c>
      <c r="J22" s="162">
        <f t="shared" si="4"/>
        <v>0</v>
      </c>
      <c r="K22" s="167">
        <f t="shared" si="5"/>
        <v>0</v>
      </c>
      <c r="L22" s="164"/>
      <c r="M22" s="1183"/>
      <c r="N22" s="1184"/>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183" t="s">
        <v>216</v>
      </c>
      <c r="D23" s="1240"/>
      <c r="E23" s="1240"/>
      <c r="F23" s="1241"/>
      <c r="G23" s="694" t="s">
        <v>32</v>
      </c>
      <c r="H23" s="77" t="s">
        <v>55</v>
      </c>
      <c r="I23" s="155">
        <f t="shared" si="6"/>
        <v>0</v>
      </c>
      <c r="J23" s="162">
        <f t="shared" si="4"/>
        <v>0</v>
      </c>
      <c r="K23" s="167">
        <f t="shared" si="5"/>
        <v>0</v>
      </c>
      <c r="L23" s="164"/>
      <c r="M23" s="1183"/>
      <c r="N23" s="1184"/>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183" t="s">
        <v>466</v>
      </c>
      <c r="D24" s="1240"/>
      <c r="E24" s="1240"/>
      <c r="F24" s="1241"/>
      <c r="G24" s="694" t="s">
        <v>31</v>
      </c>
      <c r="H24" s="77" t="s">
        <v>72</v>
      </c>
      <c r="I24" s="155">
        <f t="shared" si="6"/>
        <v>0</v>
      </c>
      <c r="J24" s="162">
        <f t="shared" si="4"/>
        <v>0</v>
      </c>
      <c r="K24" s="167">
        <f t="shared" si="5"/>
        <v>0</v>
      </c>
      <c r="L24" s="164"/>
      <c r="M24" s="1183"/>
      <c r="N24" s="1184"/>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6"/>
        <v>0</v>
      </c>
      <c r="J25" s="162">
        <f t="shared" si="4"/>
        <v>0</v>
      </c>
      <c r="K25" s="167">
        <f t="shared" si="5"/>
        <v>0</v>
      </c>
      <c r="L25" s="164"/>
      <c r="M25" s="1183"/>
      <c r="N25" s="1184"/>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172" t="s">
        <v>218</v>
      </c>
      <c r="D26" s="1172"/>
      <c r="E26" s="1281"/>
      <c r="F26" s="1282"/>
      <c r="G26" s="694" t="s">
        <v>32</v>
      </c>
      <c r="H26" s="77" t="s">
        <v>35</v>
      </c>
      <c r="I26" s="155">
        <f t="shared" si="6"/>
        <v>0</v>
      </c>
      <c r="J26" s="162">
        <f t="shared" si="4"/>
        <v>0</v>
      </c>
      <c r="K26" s="167">
        <f t="shared" si="5"/>
        <v>0</v>
      </c>
      <c r="L26" s="164"/>
      <c r="M26" s="1183"/>
      <c r="N26" s="1184"/>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172" t="s">
        <v>219</v>
      </c>
      <c r="D27" s="1172"/>
      <c r="E27" s="1281"/>
      <c r="F27" s="1282"/>
      <c r="G27" s="694" t="s">
        <v>32</v>
      </c>
      <c r="H27" s="77" t="s">
        <v>65</v>
      </c>
      <c r="I27" s="155">
        <f t="shared" si="6"/>
        <v>0</v>
      </c>
      <c r="J27" s="162">
        <f t="shared" si="4"/>
        <v>0</v>
      </c>
      <c r="K27" s="167">
        <f t="shared" si="5"/>
        <v>0</v>
      </c>
      <c r="L27" s="164"/>
      <c r="M27" s="1183"/>
      <c r="N27" s="1184"/>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172" t="s">
        <v>401</v>
      </c>
      <c r="D28" s="1172"/>
      <c r="E28" s="1281"/>
      <c r="F28" s="1282"/>
      <c r="G28" s="694" t="s">
        <v>32</v>
      </c>
      <c r="H28" s="77" t="s">
        <v>65</v>
      </c>
      <c r="I28" s="155">
        <f>$D$11*B28</f>
        <v>0</v>
      </c>
      <c r="J28" s="162">
        <f>IF(A28="Y",I28* 2%,0)</f>
        <v>0</v>
      </c>
      <c r="K28" s="167">
        <f>I28-J28</f>
        <v>0</v>
      </c>
      <c r="L28" s="164"/>
      <c r="M28" s="1183"/>
      <c r="N28" s="1184"/>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172" t="s">
        <v>254</v>
      </c>
      <c r="D29" s="1172"/>
      <c r="E29" s="1283"/>
      <c r="F29" s="1284"/>
      <c r="G29" s="694" t="s">
        <v>32</v>
      </c>
      <c r="H29" s="77"/>
      <c r="I29" s="155">
        <f t="shared" si="6"/>
        <v>0</v>
      </c>
      <c r="J29" s="162">
        <f t="shared" si="4"/>
        <v>0</v>
      </c>
      <c r="K29" s="167">
        <f t="shared" si="5"/>
        <v>0</v>
      </c>
      <c r="L29" s="164"/>
      <c r="M29" s="1183"/>
      <c r="N29" s="1184"/>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154" t="s">
        <v>286</v>
      </c>
      <c r="D30" s="1155"/>
      <c r="E30" s="1155"/>
      <c r="F30" s="1232"/>
      <c r="G30" s="702" t="s">
        <v>32</v>
      </c>
      <c r="H30" s="84" t="s">
        <v>36</v>
      </c>
      <c r="I30" s="155">
        <f t="shared" si="6"/>
        <v>0</v>
      </c>
      <c r="J30" s="162">
        <f t="shared" si="4"/>
        <v>0</v>
      </c>
      <c r="K30" s="167">
        <f t="shared" si="5"/>
        <v>0</v>
      </c>
      <c r="L30" s="164"/>
      <c r="M30" s="1183"/>
      <c r="N30" s="1184"/>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154" t="s">
        <v>385</v>
      </c>
      <c r="D31" s="1155"/>
      <c r="E31" s="1155"/>
      <c r="F31" s="1232"/>
      <c r="G31" s="702" t="s">
        <v>31</v>
      </c>
      <c r="H31" s="91" t="s">
        <v>39</v>
      </c>
      <c r="I31" s="204">
        <v>4</v>
      </c>
      <c r="J31" s="162">
        <f>IF(A31="Y", I31*2%,0)</f>
        <v>0.08</v>
      </c>
      <c r="K31" s="167">
        <f>I31-J31</f>
        <v>3.92</v>
      </c>
      <c r="L31" s="164"/>
      <c r="M31" s="1183"/>
      <c r="N31" s="1184"/>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154" t="s">
        <v>555</v>
      </c>
      <c r="D32" s="1155"/>
      <c r="E32" s="1232"/>
      <c r="F32" s="1088" t="s">
        <v>281</v>
      </c>
      <c r="G32" s="702" t="s">
        <v>31</v>
      </c>
      <c r="H32" s="84" t="s">
        <v>37</v>
      </c>
      <c r="I32" s="155">
        <f t="shared" si="6"/>
        <v>0</v>
      </c>
      <c r="J32" s="162">
        <f t="shared" si="4"/>
        <v>0</v>
      </c>
      <c r="K32" s="167">
        <f t="shared" si="5"/>
        <v>0</v>
      </c>
      <c r="L32" s="164"/>
      <c r="M32" s="1183"/>
      <c r="N32" s="1184"/>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154" t="s">
        <v>556</v>
      </c>
      <c r="D33" s="1155"/>
      <c r="E33" s="1232"/>
      <c r="F33" s="1089"/>
      <c r="G33" s="702" t="s">
        <v>31</v>
      </c>
      <c r="H33" s="84" t="s">
        <v>197</v>
      </c>
      <c r="I33" s="155">
        <f t="shared" si="6"/>
        <v>0</v>
      </c>
      <c r="J33" s="162">
        <f t="shared" si="4"/>
        <v>0</v>
      </c>
      <c r="K33" s="167">
        <f t="shared" si="5"/>
        <v>0</v>
      </c>
      <c r="L33" s="164"/>
      <c r="M33" s="1183"/>
      <c r="N33" s="1184"/>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154" t="s">
        <v>220</v>
      </c>
      <c r="D34" s="1155"/>
      <c r="E34" s="1155"/>
      <c r="F34" s="1232"/>
      <c r="G34" s="702" t="s">
        <v>31</v>
      </c>
      <c r="H34" s="84" t="s">
        <v>10</v>
      </c>
      <c r="I34" s="155">
        <f>$D$10*20%</f>
        <v>0</v>
      </c>
      <c r="J34" s="162">
        <f t="shared" si="4"/>
        <v>0</v>
      </c>
      <c r="K34" s="167">
        <f>I34-J34</f>
        <v>0</v>
      </c>
      <c r="L34" s="164"/>
      <c r="M34" s="1183"/>
      <c r="N34" s="1184"/>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229" t="s">
        <v>221</v>
      </c>
      <c r="D35" s="1230"/>
      <c r="E35" s="1230"/>
      <c r="F35" s="1231"/>
      <c r="G35" s="703"/>
      <c r="H35" s="88"/>
      <c r="I35" s="157">
        <f>SUM(I16:I34)</f>
        <v>4</v>
      </c>
      <c r="J35" s="162"/>
      <c r="K35" s="168">
        <f>SUM(K16:K34)</f>
        <v>3.92</v>
      </c>
      <c r="L35" s="165"/>
      <c r="M35" s="1154"/>
      <c r="N35" s="1239"/>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154" t="s">
        <v>419</v>
      </c>
      <c r="D36" s="1155"/>
      <c r="E36" s="1155"/>
      <c r="F36" s="1232"/>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233" t="s">
        <v>259</v>
      </c>
      <c r="D37" s="1234"/>
      <c r="E37" s="1234"/>
      <c r="F37" s="1235"/>
      <c r="G37" s="704" t="s">
        <v>31</v>
      </c>
      <c r="H37" s="92" t="s">
        <v>197</v>
      </c>
      <c r="I37" s="204">
        <v>35</v>
      </c>
      <c r="J37" s="162">
        <f t="shared" ref="J37:J45" si="8">IF(A37="Y", I37*2%,0)</f>
        <v>0</v>
      </c>
      <c r="K37" s="167">
        <f t="shared" ref="K37:K45" si="9">I37-J37</f>
        <v>35</v>
      </c>
      <c r="L37" s="164"/>
      <c r="M37" s="1183"/>
      <c r="N37" s="1184"/>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233" t="s">
        <v>421</v>
      </c>
      <c r="D38" s="1234"/>
      <c r="E38" s="1234"/>
      <c r="F38" s="1235"/>
      <c r="G38" s="704" t="s">
        <v>230</v>
      </c>
      <c r="H38" s="92" t="s">
        <v>24</v>
      </c>
      <c r="I38" s="204"/>
      <c r="J38" s="162">
        <f t="shared" si="8"/>
        <v>0</v>
      </c>
      <c r="K38" s="167">
        <f t="shared" si="9"/>
        <v>0</v>
      </c>
      <c r="L38" s="164"/>
      <c r="M38" s="1183"/>
      <c r="N38" s="1184"/>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233" t="s">
        <v>292</v>
      </c>
      <c r="D39" s="1234"/>
      <c r="E39" s="1234"/>
      <c r="F39" s="1235"/>
      <c r="G39" s="704" t="s">
        <v>32</v>
      </c>
      <c r="H39" s="92" t="s">
        <v>15</v>
      </c>
      <c r="I39" s="204">
        <f>49*49%</f>
        <v>24.009999999999998</v>
      </c>
      <c r="J39" s="162">
        <f t="shared" si="8"/>
        <v>0</v>
      </c>
      <c r="K39" s="167">
        <f t="shared" si="9"/>
        <v>24.009999999999998</v>
      </c>
      <c r="L39" s="164"/>
      <c r="M39" s="1183"/>
      <c r="N39" s="1184"/>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233" t="s">
        <v>293</v>
      </c>
      <c r="D40" s="1234"/>
      <c r="E40" s="1234"/>
      <c r="F40" s="1235"/>
      <c r="G40" s="704" t="s">
        <v>32</v>
      </c>
      <c r="H40" s="92" t="s">
        <v>27</v>
      </c>
      <c r="I40" s="204">
        <f>49*51%</f>
        <v>24.990000000000002</v>
      </c>
      <c r="J40" s="162">
        <f t="shared" si="8"/>
        <v>0</v>
      </c>
      <c r="K40" s="167">
        <f t="shared" si="9"/>
        <v>24.990000000000002</v>
      </c>
      <c r="L40" s="164"/>
      <c r="M40" s="1183"/>
      <c r="N40" s="1184"/>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233" t="s">
        <v>293</v>
      </c>
      <c r="D41" s="1234"/>
      <c r="E41" s="1234"/>
      <c r="F41" s="1235"/>
      <c r="G41" s="704" t="s">
        <v>31</v>
      </c>
      <c r="H41" s="92" t="s">
        <v>13</v>
      </c>
      <c r="I41" s="204"/>
      <c r="J41" s="162">
        <f t="shared" si="8"/>
        <v>0</v>
      </c>
      <c r="K41" s="167">
        <f t="shared" si="9"/>
        <v>0</v>
      </c>
      <c r="L41" s="164"/>
      <c r="M41" s="1183"/>
      <c r="N41" s="1184"/>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233" t="s">
        <v>427</v>
      </c>
      <c r="D42" s="1234"/>
      <c r="E42" s="1234"/>
      <c r="F42" s="1235"/>
      <c r="G42" s="704" t="s">
        <v>230</v>
      </c>
      <c r="H42" s="92" t="s">
        <v>27</v>
      </c>
      <c r="I42" s="204"/>
      <c r="J42" s="162">
        <f>IF(A42="Y", I42*2%,0)</f>
        <v>0</v>
      </c>
      <c r="K42" s="167">
        <f>I42-J42</f>
        <v>0</v>
      </c>
      <c r="L42" s="164"/>
      <c r="M42" s="1183"/>
      <c r="N42" s="1184"/>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154" t="s">
        <v>551</v>
      </c>
      <c r="D43" s="1234"/>
      <c r="E43" s="1234"/>
      <c r="F43" s="1235"/>
      <c r="G43" s="704" t="s">
        <v>31</v>
      </c>
      <c r="H43" s="92"/>
      <c r="I43" s="204">
        <v>3</v>
      </c>
      <c r="J43" s="162"/>
      <c r="K43" s="167">
        <f t="shared" si="9"/>
        <v>3</v>
      </c>
      <c r="L43" s="164"/>
      <c r="M43" s="1183"/>
      <c r="N43" s="1184"/>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154" t="s">
        <v>517</v>
      </c>
      <c r="D44" s="1155"/>
      <c r="E44" s="1155"/>
      <c r="F44" s="1232"/>
      <c r="G44" s="704" t="s">
        <v>230</v>
      </c>
      <c r="H44" s="92" t="s">
        <v>82</v>
      </c>
      <c r="I44" s="204"/>
      <c r="J44" s="162">
        <f t="shared" si="8"/>
        <v>0</v>
      </c>
      <c r="K44" s="167">
        <f t="shared" si="9"/>
        <v>0</v>
      </c>
      <c r="L44" s="164"/>
      <c r="M44" s="1183"/>
      <c r="N44" s="1184"/>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233" t="s">
        <v>225</v>
      </c>
      <c r="D45" s="1234"/>
      <c r="E45" s="1234"/>
      <c r="F45" s="1235"/>
      <c r="G45" s="704" t="s">
        <v>31</v>
      </c>
      <c r="H45" s="92" t="s">
        <v>80</v>
      </c>
      <c r="I45" s="204"/>
      <c r="J45" s="162">
        <f t="shared" si="8"/>
        <v>0</v>
      </c>
      <c r="K45" s="167">
        <f t="shared" si="9"/>
        <v>0</v>
      </c>
      <c r="L45" s="164"/>
      <c r="M45" s="1183"/>
      <c r="N45" s="1184"/>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183" t="s">
        <v>492</v>
      </c>
      <c r="D46" s="1240"/>
      <c r="E46" s="1240"/>
      <c r="F46" s="1241"/>
      <c r="G46" s="705" t="s">
        <v>31</v>
      </c>
      <c r="H46" s="96" t="s">
        <v>41</v>
      </c>
      <c r="I46" s="97"/>
      <c r="J46" s="163"/>
      <c r="K46" s="169">
        <f>J47</f>
        <v>0.08</v>
      </c>
      <c r="L46" s="164"/>
      <c r="M46" s="1183"/>
      <c r="N46" s="1184"/>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276" t="s">
        <v>61</v>
      </c>
      <c r="B49" s="1276"/>
      <c r="C49" s="1276"/>
      <c r="D49" s="210"/>
      <c r="E49" s="133"/>
      <c r="F49" s="133"/>
      <c r="K49" s="135"/>
      <c r="L49" s="136"/>
      <c r="P49" s="137"/>
      <c r="Q49" s="137"/>
      <c r="R49" s="137"/>
      <c r="S49" s="137"/>
      <c r="T49" s="137"/>
      <c r="U49" s="138"/>
      <c r="V49" s="138"/>
      <c r="W49" s="139"/>
    </row>
    <row r="50" spans="1:23" s="141" customFormat="1" ht="18" customHeight="1" x14ac:dyDescent="0.2">
      <c r="A50" s="769">
        <v>1</v>
      </c>
      <c r="B50" s="1145"/>
      <c r="C50" s="1145"/>
      <c r="D50" s="1145"/>
      <c r="E50" s="1145"/>
      <c r="F50" s="1145"/>
      <c r="G50" s="1145"/>
      <c r="H50" s="1145"/>
      <c r="I50" s="1145"/>
      <c r="J50" s="1145"/>
      <c r="K50" s="1145"/>
      <c r="L50" s="1145"/>
      <c r="M50" s="1145"/>
      <c r="N50" s="1145"/>
      <c r="O50" s="1145"/>
      <c r="P50" s="1145"/>
      <c r="Q50" s="1145"/>
      <c r="R50" s="1145"/>
      <c r="S50" s="1145"/>
      <c r="T50" s="1145"/>
      <c r="U50" s="1145"/>
      <c r="V50" s="1145"/>
      <c r="W50" s="1145"/>
    </row>
    <row r="51" spans="1:23" s="141" customFormat="1" ht="18" customHeight="1" x14ac:dyDescent="0.2">
      <c r="A51" s="769">
        <v>2</v>
      </c>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row>
    <row r="52" spans="1:23" s="141" customFormat="1" ht="18" customHeight="1" x14ac:dyDescent="0.2">
      <c r="A52" s="769">
        <v>3</v>
      </c>
      <c r="B52" s="1145"/>
      <c r="C52" s="1145"/>
      <c r="D52" s="1145"/>
      <c r="E52" s="1145"/>
      <c r="F52" s="1145"/>
      <c r="G52" s="1145"/>
      <c r="H52" s="1145"/>
      <c r="I52" s="1145"/>
      <c r="J52" s="1145"/>
      <c r="K52" s="1145"/>
      <c r="L52" s="1145"/>
      <c r="M52" s="1145"/>
      <c r="N52" s="1145"/>
      <c r="O52" s="1145"/>
      <c r="P52" s="1145"/>
      <c r="Q52" s="1145"/>
      <c r="R52" s="1145"/>
      <c r="S52" s="1145"/>
      <c r="T52" s="1145"/>
      <c r="U52" s="1145"/>
      <c r="V52" s="1145"/>
      <c r="W52" s="1145"/>
    </row>
    <row r="53" spans="1:23" s="54" customFormat="1" ht="20.25" customHeight="1" x14ac:dyDescent="0.2">
      <c r="A53" s="769">
        <v>4</v>
      </c>
      <c r="B53" s="1145"/>
      <c r="C53" s="1145"/>
      <c r="D53" s="1145"/>
      <c r="E53" s="1145"/>
      <c r="F53" s="1145"/>
      <c r="G53" s="1145"/>
      <c r="H53" s="1145"/>
      <c r="I53" s="1145"/>
      <c r="J53" s="1145"/>
      <c r="K53" s="1145"/>
      <c r="L53" s="1145"/>
      <c r="M53" s="1145"/>
      <c r="N53" s="1145"/>
      <c r="O53" s="1145"/>
      <c r="P53" s="1145"/>
      <c r="Q53" s="1145"/>
      <c r="R53" s="1145"/>
      <c r="S53" s="1145"/>
      <c r="T53" s="1145"/>
      <c r="U53" s="1145"/>
      <c r="V53" s="1145"/>
      <c r="W53" s="1145"/>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187" t="s">
        <v>106</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5"/>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78" t="s">
        <v>28</v>
      </c>
      <c r="G4" s="1198"/>
      <c r="H4" s="187"/>
      <c r="I4" s="1520" t="s">
        <v>378</v>
      </c>
      <c r="J4" s="1520"/>
      <c r="K4" s="1520"/>
      <c r="L4" s="1521"/>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371" t="s">
        <v>244</v>
      </c>
      <c r="G5" s="1220"/>
      <c r="H5" s="185"/>
      <c r="I5" s="1518" t="s">
        <v>319</v>
      </c>
      <c r="J5" s="1518"/>
      <c r="K5" s="1518"/>
      <c r="L5" s="1519"/>
      <c r="M5" s="1338" t="s">
        <v>22</v>
      </c>
      <c r="N5" s="1338"/>
      <c r="O5" s="58"/>
      <c r="P5" s="238"/>
      <c r="Q5" s="1339" t="s">
        <v>302</v>
      </c>
      <c r="R5" s="1340"/>
      <c r="S5" s="1340"/>
      <c r="T5" s="1340"/>
      <c r="U5" s="1340"/>
      <c r="V5" s="1340"/>
      <c r="W5" s="1341"/>
      <c r="Y5" s="172" t="s">
        <v>31</v>
      </c>
      <c r="Z5" s="176">
        <f>SUMIF($G$16:$G$41,"STATE",$K$16:$K$41)</f>
        <v>79</v>
      </c>
      <c r="AA5" s="176">
        <f>SUMIF($G$16:$G$41,"STATE",$S$16:$S$41)</f>
        <v>0</v>
      </c>
    </row>
    <row r="6" spans="1:28" s="57" customFormat="1" ht="16.5" thickBot="1" x14ac:dyDescent="0.25">
      <c r="A6" s="1200" t="s">
        <v>12</v>
      </c>
      <c r="B6" s="1201"/>
      <c r="C6" s="1201"/>
      <c r="D6" s="1221"/>
      <c r="E6" s="1333"/>
      <c r="F6" s="1371" t="s">
        <v>20</v>
      </c>
      <c r="G6" s="1220"/>
      <c r="H6" s="185"/>
      <c r="I6" s="1518" t="s">
        <v>317</v>
      </c>
      <c r="J6" s="1518"/>
      <c r="K6" s="1518"/>
      <c r="L6" s="1519"/>
      <c r="M6" s="1334" t="s">
        <v>233</v>
      </c>
      <c r="N6" s="1334"/>
      <c r="O6" s="212">
        <f>O4+O5*10</f>
        <v>0</v>
      </c>
      <c r="P6" s="238"/>
      <c r="Q6" s="1335" t="s">
        <v>573</v>
      </c>
      <c r="R6" s="1336"/>
      <c r="S6" s="1336"/>
      <c r="T6" s="1336"/>
      <c r="U6" s="1336"/>
      <c r="V6" s="1336"/>
      <c r="W6" s="1337"/>
      <c r="Y6" s="172" t="s">
        <v>32</v>
      </c>
      <c r="Z6" s="176">
        <f>SUMIF($G$16:$G$41,"COUNTY",$K$16:$K$41)</f>
        <v>0</v>
      </c>
      <c r="AA6" s="176">
        <f>SUMIF($G$16:$G$41,"COUNTY",$S$16:$S$41)</f>
        <v>0</v>
      </c>
    </row>
    <row r="7" spans="1:28" s="57" customFormat="1" ht="16.5" thickBot="1" x14ac:dyDescent="0.25">
      <c r="A7" s="1200" t="s">
        <v>5</v>
      </c>
      <c r="B7" s="1201"/>
      <c r="C7" s="1201"/>
      <c r="D7" s="1158"/>
      <c r="E7" s="1193"/>
      <c r="F7" s="1362" t="s">
        <v>21</v>
      </c>
      <c r="G7" s="1173"/>
      <c r="H7" s="186"/>
      <c r="I7" s="1516" t="s">
        <v>3</v>
      </c>
      <c r="J7" s="1516"/>
      <c r="K7" s="1516"/>
      <c r="L7" s="1517"/>
      <c r="M7" s="235"/>
      <c r="N7" s="242"/>
      <c r="O7" s="236"/>
      <c r="P7" s="238"/>
      <c r="Q7" s="1323" t="s">
        <v>235</v>
      </c>
      <c r="R7" s="1324"/>
      <c r="S7" s="1324"/>
      <c r="T7" s="1324"/>
      <c r="U7" s="1324"/>
      <c r="V7" s="1324"/>
      <c r="W7" s="1325"/>
      <c r="Y7" s="172" t="s">
        <v>52</v>
      </c>
      <c r="Z7" s="176">
        <f>SUMIF($G$16:$G$41,"CITY",$K$16:$K$41)</f>
        <v>0</v>
      </c>
      <c r="AA7" s="176">
        <f>SUMIF($G$16:$G$41,"CITY",$S$16:$S$41)</f>
        <v>0</v>
      </c>
    </row>
    <row r="8" spans="1:28" s="57" customFormat="1" ht="15.75" customHeight="1" x14ac:dyDescent="0.2">
      <c r="A8" s="1326" t="s">
        <v>434</v>
      </c>
      <c r="B8" s="1327"/>
      <c r="C8" s="1327"/>
      <c r="D8" s="1158" t="s">
        <v>437</v>
      </c>
      <c r="E8" s="1193"/>
      <c r="F8" s="1378" t="s">
        <v>253</v>
      </c>
      <c r="G8" s="1198"/>
      <c r="H8" s="187"/>
      <c r="I8" s="1520"/>
      <c r="J8" s="1520"/>
      <c r="K8" s="1520"/>
      <c r="L8" s="1521"/>
      <c r="M8" s="1373" t="s">
        <v>257</v>
      </c>
      <c r="N8" s="1373"/>
      <c r="O8" s="55">
        <v>0</v>
      </c>
      <c r="P8" s="239"/>
      <c r="Q8" s="1314" t="s">
        <v>303</v>
      </c>
      <c r="R8" s="1266"/>
      <c r="S8" s="1266"/>
      <c r="T8" s="1266"/>
      <c r="U8" s="1266"/>
      <c r="V8" s="1266"/>
      <c r="W8" s="1315"/>
      <c r="Y8" s="172" t="s">
        <v>230</v>
      </c>
      <c r="Z8" s="176">
        <f>SUMIF($G$16:$G$41,"COURT",$K$16:$K$41)</f>
        <v>0</v>
      </c>
      <c r="AA8" s="176">
        <f>SUMIF($G$16:$G$41,"COURT",$S$16:$S$41)</f>
        <v>0</v>
      </c>
    </row>
    <row r="9" spans="1:28" s="57" customFormat="1" ht="18" customHeight="1" thickBot="1" x14ac:dyDescent="0.25">
      <c r="A9" s="1318" t="s">
        <v>435</v>
      </c>
      <c r="B9" s="1319"/>
      <c r="C9" s="1319"/>
      <c r="D9" s="1158" t="s">
        <v>442</v>
      </c>
      <c r="E9" s="1193"/>
      <c r="F9" s="1371" t="s">
        <v>244</v>
      </c>
      <c r="G9" s="1220"/>
      <c r="H9" s="185"/>
      <c r="I9" s="1518"/>
      <c r="J9" s="1518"/>
      <c r="K9" s="1518"/>
      <c r="L9" s="1519"/>
      <c r="M9" s="1338" t="s">
        <v>22</v>
      </c>
      <c r="N9" s="1338"/>
      <c r="O9" s="58"/>
      <c r="P9" s="239"/>
      <c r="Q9" s="1316"/>
      <c r="R9" s="1269"/>
      <c r="S9" s="1269"/>
      <c r="T9" s="1269"/>
      <c r="U9" s="1269"/>
      <c r="V9" s="1269"/>
      <c r="W9" s="1317"/>
      <c r="Y9" s="153" t="s">
        <v>446</v>
      </c>
      <c r="Z9" s="176">
        <f>SUMIF($G$16:$G$41,"CNTY or CTY",$K$16:$K$41)</f>
        <v>0</v>
      </c>
      <c r="AA9" s="176">
        <f>SUMIF($G$16:$G$41,"CNTY or CTY",$S$16:$S$41)</f>
        <v>0</v>
      </c>
    </row>
    <row r="10" spans="1:28" s="57" customFormat="1" ht="16.5" customHeight="1" thickBot="1" x14ac:dyDescent="0.25">
      <c r="A10" s="1152" t="s">
        <v>276</v>
      </c>
      <c r="B10" s="1153"/>
      <c r="C10" s="1153"/>
      <c r="D10" s="1148">
        <f>O6+O10</f>
        <v>0</v>
      </c>
      <c r="E10" s="1149"/>
      <c r="F10" s="1371" t="s">
        <v>20</v>
      </c>
      <c r="G10" s="1220"/>
      <c r="H10" s="185"/>
      <c r="I10" s="1518"/>
      <c r="J10" s="1518"/>
      <c r="K10" s="1518"/>
      <c r="L10" s="1519"/>
      <c r="M10" s="1334" t="s">
        <v>233</v>
      </c>
      <c r="N10" s="1334"/>
      <c r="O10" s="212">
        <f>O8+O9*10</f>
        <v>0</v>
      </c>
      <c r="P10" s="240"/>
      <c r="Q10" s="1311" t="s">
        <v>239</v>
      </c>
      <c r="R10" s="1312"/>
      <c r="S10" s="1312"/>
      <c r="T10" s="1312"/>
      <c r="U10" s="1312"/>
      <c r="V10" s="1312"/>
      <c r="W10" s="1313"/>
      <c r="Y10" s="274" t="s">
        <v>246</v>
      </c>
      <c r="Z10" s="148">
        <f>SUM(Z5:Z9)</f>
        <v>79</v>
      </c>
      <c r="AA10" s="148">
        <f>SUM(AA5:AA9)</f>
        <v>0</v>
      </c>
    </row>
    <row r="11" spans="1:28" s="57" customFormat="1" ht="16.5" customHeight="1" thickBot="1" x14ac:dyDescent="0.25">
      <c r="A11" s="1150" t="s">
        <v>277</v>
      </c>
      <c r="B11" s="1151"/>
      <c r="C11" s="1151"/>
      <c r="D11" s="1146">
        <f>ROUNDUP(D10/10,0)</f>
        <v>0</v>
      </c>
      <c r="E11" s="1147"/>
      <c r="F11" s="1362" t="s">
        <v>21</v>
      </c>
      <c r="G11" s="1173"/>
      <c r="H11" s="186"/>
      <c r="I11" s="1516"/>
      <c r="J11" s="1516"/>
      <c r="K11" s="1516"/>
      <c r="L11" s="1517"/>
      <c r="M11" s="1416" t="s">
        <v>568</v>
      </c>
      <c r="N11" s="1448"/>
      <c r="O11" s="780">
        <f>'1-DUI (Reduce Base)'!P11</f>
        <v>7</v>
      </c>
      <c r="P11" s="240"/>
      <c r="Q11" s="1296" t="s">
        <v>430</v>
      </c>
      <c r="R11" s="1297"/>
      <c r="S11" s="1297"/>
      <c r="T11" s="1297"/>
      <c r="U11" s="1297"/>
      <c r="V11" s="1297"/>
      <c r="W11" s="129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291">
        <v>0.02</v>
      </c>
      <c r="B14" s="291" t="s">
        <v>58</v>
      </c>
      <c r="C14" s="1160" t="s">
        <v>226</v>
      </c>
      <c r="D14" s="1161"/>
      <c r="E14" s="1161"/>
      <c r="F14" s="1162"/>
      <c r="G14" s="290" t="s">
        <v>249</v>
      </c>
      <c r="H14" s="114" t="s">
        <v>0</v>
      </c>
      <c r="I14" s="1360" t="s">
        <v>298</v>
      </c>
      <c r="J14" s="1287" t="s">
        <v>6</v>
      </c>
      <c r="K14" s="289" t="s">
        <v>299</v>
      </c>
      <c r="L14" s="67"/>
      <c r="M14" s="1256" t="s">
        <v>260</v>
      </c>
      <c r="N14" s="1257"/>
      <c r="O14" s="288" t="s">
        <v>248</v>
      </c>
      <c r="P14" s="121"/>
      <c r="Q14" s="690" t="s">
        <v>428</v>
      </c>
      <c r="R14" s="1287" t="s">
        <v>6</v>
      </c>
      <c r="S14" s="289" t="s">
        <v>299</v>
      </c>
      <c r="T14" s="228"/>
      <c r="U14" s="273" t="s">
        <v>256</v>
      </c>
      <c r="V14" s="1289" t="s">
        <v>61</v>
      </c>
      <c r="W14" s="1291" t="s">
        <v>384</v>
      </c>
    </row>
    <row r="15" spans="1:28" ht="30.75" customHeight="1" thickBot="1" x14ac:dyDescent="0.25">
      <c r="A15" s="292"/>
      <c r="B15" s="292"/>
      <c r="C15" s="1163"/>
      <c r="D15" s="1164"/>
      <c r="E15" s="1164"/>
      <c r="F15" s="1165"/>
      <c r="G15" s="293"/>
      <c r="H15" s="293"/>
      <c r="I15" s="1361"/>
      <c r="J15" s="1288"/>
      <c r="K15" s="244" t="s">
        <v>42</v>
      </c>
      <c r="L15" s="68"/>
      <c r="M15" s="1254"/>
      <c r="N15" s="1255"/>
      <c r="O15" s="297" t="s">
        <v>43</v>
      </c>
      <c r="P15" s="121"/>
      <c r="Q15" s="246" t="e">
        <f>(Q35-Q31)/(I35-I31)</f>
        <v>#DIV/0!</v>
      </c>
      <c r="R15" s="1288"/>
      <c r="S15" s="244" t="s">
        <v>44</v>
      </c>
      <c r="T15" s="228"/>
      <c r="U15" s="298" t="s">
        <v>300</v>
      </c>
      <c r="V15" s="1290"/>
      <c r="W15" s="1292"/>
    </row>
    <row r="16" spans="1:28" s="74" customFormat="1" ht="15.75" hidden="1" customHeight="1" thickTop="1" x14ac:dyDescent="0.2">
      <c r="A16" s="69" t="s">
        <v>8</v>
      </c>
      <c r="B16" s="195"/>
      <c r="C16" s="1226"/>
      <c r="D16" s="1226"/>
      <c r="E16" s="1226"/>
      <c r="F16" s="1226"/>
      <c r="G16" s="70"/>
      <c r="H16" s="71"/>
      <c r="I16" s="154"/>
      <c r="J16" s="162"/>
      <c r="K16" s="198"/>
      <c r="L16" s="164"/>
      <c r="M16" s="1271"/>
      <c r="N16" s="127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183"/>
      <c r="D17" s="1240"/>
      <c r="E17" s="1240"/>
      <c r="F17" s="1241"/>
      <c r="G17" s="76"/>
      <c r="H17" s="77"/>
      <c r="I17" s="156"/>
      <c r="J17" s="162"/>
      <c r="K17" s="167"/>
      <c r="L17" s="164"/>
      <c r="M17" s="1183"/>
      <c r="N17" s="1184"/>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585" t="s">
        <v>241</v>
      </c>
      <c r="C18" s="1226" t="s">
        <v>320</v>
      </c>
      <c r="D18" s="1226"/>
      <c r="E18" s="1226"/>
      <c r="F18" s="1226"/>
      <c r="G18" s="701" t="str">
        <f>IF(AND($D$9="Yes",$D$8="NA-City Arrest"), "CITY","COUNTY")</f>
        <v>COUNTY</v>
      </c>
      <c r="H18" s="77" t="s">
        <v>325</v>
      </c>
      <c r="I18" s="156">
        <f>$D$10*70%</f>
        <v>0</v>
      </c>
      <c r="J18" s="162">
        <f>IF(A18="Y",I18* 2%,0)</f>
        <v>0</v>
      </c>
      <c r="K18" s="167">
        <f>I18-J18</f>
        <v>0</v>
      </c>
      <c r="L18" s="164"/>
      <c r="M18" s="1183"/>
      <c r="N18" s="1184"/>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585"/>
      <c r="C19" s="1226" t="s">
        <v>321</v>
      </c>
      <c r="D19" s="1226"/>
      <c r="E19" s="1226"/>
      <c r="F19" s="1226"/>
      <c r="G19" s="701" t="str">
        <f>IF(AND($D$9="Yes",$D$8="NA-City Arrest"), "CITY","COUNTY")</f>
        <v>COUNTY</v>
      </c>
      <c r="H19" s="77" t="s">
        <v>324</v>
      </c>
      <c r="I19" s="156">
        <f>$D$10*15%</f>
        <v>0</v>
      </c>
      <c r="J19" s="162">
        <f>IF(A19="Y",I19* 2%,0)</f>
        <v>0</v>
      </c>
      <c r="K19" s="167">
        <f>I19-J19</f>
        <v>0</v>
      </c>
      <c r="L19" s="164"/>
      <c r="M19" s="1183"/>
      <c r="N19" s="1184"/>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356"/>
      <c r="C20" s="1226" t="s">
        <v>322</v>
      </c>
      <c r="D20" s="1226"/>
      <c r="E20" s="1226"/>
      <c r="F20" s="1226"/>
      <c r="G20" s="701" t="str">
        <f>IF($D$8="Yes", "COUNTY", "CITY")</f>
        <v>CITY</v>
      </c>
      <c r="H20" s="77" t="s">
        <v>323</v>
      </c>
      <c r="I20" s="156">
        <f>$D$10*15%</f>
        <v>0</v>
      </c>
      <c r="J20" s="162">
        <f t="shared" ref="J20:J34" si="4">IF(A20="Y",I20* 2%,0)</f>
        <v>0</v>
      </c>
      <c r="K20" s="167">
        <f t="shared" ref="K20:K33" si="5">I20-J20</f>
        <v>0</v>
      </c>
      <c r="L20" s="164"/>
      <c r="M20" s="1183"/>
      <c r="N20" s="1184"/>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172" t="s">
        <v>546</v>
      </c>
      <c r="D21" s="1172"/>
      <c r="E21" s="1172"/>
      <c r="F21" s="1172"/>
      <c r="G21" s="694" t="s">
        <v>31</v>
      </c>
      <c r="H21" s="77" t="s">
        <v>26</v>
      </c>
      <c r="I21" s="155">
        <f>$D$11*B21</f>
        <v>0</v>
      </c>
      <c r="J21" s="162">
        <f t="shared" si="4"/>
        <v>0</v>
      </c>
      <c r="K21" s="167">
        <f t="shared" si="5"/>
        <v>0</v>
      </c>
      <c r="L21" s="164"/>
      <c r="M21" s="1183"/>
      <c r="N21" s="1184"/>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172" t="s">
        <v>547</v>
      </c>
      <c r="D22" s="1172"/>
      <c r="E22" s="1172"/>
      <c r="F22" s="1172"/>
      <c r="G22" s="694" t="s">
        <v>32</v>
      </c>
      <c r="H22" s="77" t="s">
        <v>27</v>
      </c>
      <c r="I22" s="155">
        <f t="shared" ref="I22:I33" si="6">$D$11*B22</f>
        <v>0</v>
      </c>
      <c r="J22" s="162">
        <f t="shared" si="4"/>
        <v>0</v>
      </c>
      <c r="K22" s="167">
        <f t="shared" si="5"/>
        <v>0</v>
      </c>
      <c r="L22" s="164"/>
      <c r="M22" s="1183"/>
      <c r="N22" s="1184"/>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183" t="s">
        <v>216</v>
      </c>
      <c r="D23" s="1240"/>
      <c r="E23" s="1240"/>
      <c r="F23" s="1241"/>
      <c r="G23" s="694" t="s">
        <v>32</v>
      </c>
      <c r="H23" s="77" t="s">
        <v>55</v>
      </c>
      <c r="I23" s="155">
        <f t="shared" si="6"/>
        <v>0</v>
      </c>
      <c r="J23" s="162">
        <f t="shared" si="4"/>
        <v>0</v>
      </c>
      <c r="K23" s="167">
        <f t="shared" si="5"/>
        <v>0</v>
      </c>
      <c r="L23" s="164"/>
      <c r="M23" s="1183"/>
      <c r="N23" s="1184"/>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183" t="s">
        <v>466</v>
      </c>
      <c r="D24" s="1240"/>
      <c r="E24" s="1240"/>
      <c r="F24" s="1241"/>
      <c r="G24" s="694" t="s">
        <v>31</v>
      </c>
      <c r="H24" s="77" t="s">
        <v>72</v>
      </c>
      <c r="I24" s="155">
        <f t="shared" si="6"/>
        <v>0</v>
      </c>
      <c r="J24" s="162">
        <f t="shared" si="4"/>
        <v>0</v>
      </c>
      <c r="K24" s="167">
        <f t="shared" si="5"/>
        <v>0</v>
      </c>
      <c r="L24" s="164"/>
      <c r="M24" s="1183"/>
      <c r="N24" s="1184"/>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6"/>
        <v>0</v>
      </c>
      <c r="J25" s="162">
        <f t="shared" si="4"/>
        <v>0</v>
      </c>
      <c r="K25" s="167">
        <f t="shared" si="5"/>
        <v>0</v>
      </c>
      <c r="L25" s="164"/>
      <c r="M25" s="1183"/>
      <c r="N25" s="1184"/>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172" t="s">
        <v>218</v>
      </c>
      <c r="D26" s="1172"/>
      <c r="E26" s="1281"/>
      <c r="F26" s="1282"/>
      <c r="G26" s="694" t="s">
        <v>32</v>
      </c>
      <c r="H26" s="77" t="s">
        <v>35</v>
      </c>
      <c r="I26" s="155">
        <f t="shared" si="6"/>
        <v>0</v>
      </c>
      <c r="J26" s="162">
        <f t="shared" si="4"/>
        <v>0</v>
      </c>
      <c r="K26" s="167">
        <f t="shared" si="5"/>
        <v>0</v>
      </c>
      <c r="L26" s="164"/>
      <c r="M26" s="1183"/>
      <c r="N26" s="1184"/>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172" t="s">
        <v>219</v>
      </c>
      <c r="D27" s="1172"/>
      <c r="E27" s="1281"/>
      <c r="F27" s="1282"/>
      <c r="G27" s="694" t="s">
        <v>32</v>
      </c>
      <c r="H27" s="77" t="s">
        <v>65</v>
      </c>
      <c r="I27" s="155">
        <f t="shared" si="6"/>
        <v>0</v>
      </c>
      <c r="J27" s="162">
        <f t="shared" si="4"/>
        <v>0</v>
      </c>
      <c r="K27" s="167">
        <f t="shared" si="5"/>
        <v>0</v>
      </c>
      <c r="L27" s="164"/>
      <c r="M27" s="1183"/>
      <c r="N27" s="1184"/>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172" t="s">
        <v>401</v>
      </c>
      <c r="D28" s="1172"/>
      <c r="E28" s="1281"/>
      <c r="F28" s="1282"/>
      <c r="G28" s="694" t="s">
        <v>32</v>
      </c>
      <c r="H28" s="77" t="s">
        <v>65</v>
      </c>
      <c r="I28" s="155">
        <f>$D$11*B28</f>
        <v>0</v>
      </c>
      <c r="J28" s="162">
        <f>IF(A28="Y",I28* 2%,0)</f>
        <v>0</v>
      </c>
      <c r="K28" s="167">
        <f>I28-J28</f>
        <v>0</v>
      </c>
      <c r="L28" s="164"/>
      <c r="M28" s="1183"/>
      <c r="N28" s="1184"/>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172" t="s">
        <v>254</v>
      </c>
      <c r="D29" s="1172"/>
      <c r="E29" s="1283"/>
      <c r="F29" s="1284"/>
      <c r="G29" s="694" t="s">
        <v>32</v>
      </c>
      <c r="H29" s="77"/>
      <c r="I29" s="155">
        <f t="shared" si="6"/>
        <v>0</v>
      </c>
      <c r="J29" s="162">
        <f t="shared" si="4"/>
        <v>0</v>
      </c>
      <c r="K29" s="167">
        <f t="shared" si="5"/>
        <v>0</v>
      </c>
      <c r="L29" s="164"/>
      <c r="M29" s="1183"/>
      <c r="N29" s="1184"/>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154" t="s">
        <v>286</v>
      </c>
      <c r="D30" s="1155"/>
      <c r="E30" s="1155"/>
      <c r="F30" s="1232"/>
      <c r="G30" s="702" t="s">
        <v>32</v>
      </c>
      <c r="H30" s="84" t="s">
        <v>36</v>
      </c>
      <c r="I30" s="155">
        <f t="shared" si="6"/>
        <v>0</v>
      </c>
      <c r="J30" s="162">
        <f t="shared" si="4"/>
        <v>0</v>
      </c>
      <c r="K30" s="167">
        <f t="shared" si="5"/>
        <v>0</v>
      </c>
      <c r="L30" s="164"/>
      <c r="M30" s="1183"/>
      <c r="N30" s="1184"/>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154" t="s">
        <v>385</v>
      </c>
      <c r="D31" s="1155"/>
      <c r="E31" s="1155"/>
      <c r="F31" s="1232"/>
      <c r="G31" s="702" t="s">
        <v>31</v>
      </c>
      <c r="H31" s="91" t="s">
        <v>39</v>
      </c>
      <c r="I31" s="204">
        <v>4</v>
      </c>
      <c r="J31" s="162">
        <f>IF(A31="Y", I31*2%,0)</f>
        <v>0.08</v>
      </c>
      <c r="K31" s="167">
        <f>I31-J31</f>
        <v>3.92</v>
      </c>
      <c r="L31" s="164"/>
      <c r="M31" s="1183"/>
      <c r="N31" s="1184"/>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154" t="s">
        <v>555</v>
      </c>
      <c r="D32" s="1155"/>
      <c r="E32" s="1232"/>
      <c r="F32" s="1088" t="s">
        <v>281</v>
      </c>
      <c r="G32" s="702" t="s">
        <v>31</v>
      </c>
      <c r="H32" s="84" t="s">
        <v>37</v>
      </c>
      <c r="I32" s="155">
        <f t="shared" si="6"/>
        <v>0</v>
      </c>
      <c r="J32" s="162">
        <f t="shared" si="4"/>
        <v>0</v>
      </c>
      <c r="K32" s="167">
        <f t="shared" si="5"/>
        <v>0</v>
      </c>
      <c r="L32" s="164"/>
      <c r="M32" s="1183"/>
      <c r="N32" s="1184"/>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154" t="s">
        <v>556</v>
      </c>
      <c r="D33" s="1155"/>
      <c r="E33" s="1232"/>
      <c r="F33" s="1089"/>
      <c r="G33" s="702" t="s">
        <v>31</v>
      </c>
      <c r="H33" s="84" t="s">
        <v>197</v>
      </c>
      <c r="I33" s="155">
        <f t="shared" si="6"/>
        <v>0</v>
      </c>
      <c r="J33" s="162">
        <f t="shared" si="4"/>
        <v>0</v>
      </c>
      <c r="K33" s="167">
        <f t="shared" si="5"/>
        <v>0</v>
      </c>
      <c r="L33" s="164"/>
      <c r="M33" s="1183"/>
      <c r="N33" s="1184"/>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154" t="s">
        <v>220</v>
      </c>
      <c r="D34" s="1155"/>
      <c r="E34" s="1155"/>
      <c r="F34" s="1232"/>
      <c r="G34" s="702" t="s">
        <v>31</v>
      </c>
      <c r="H34" s="84" t="s">
        <v>10</v>
      </c>
      <c r="I34" s="155">
        <f>$D$10*20%</f>
        <v>0</v>
      </c>
      <c r="J34" s="162">
        <f t="shared" si="4"/>
        <v>0</v>
      </c>
      <c r="K34" s="167">
        <f>I34-J34</f>
        <v>0</v>
      </c>
      <c r="L34" s="164"/>
      <c r="M34" s="1183"/>
      <c r="N34" s="1184"/>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229" t="s">
        <v>221</v>
      </c>
      <c r="D35" s="1230"/>
      <c r="E35" s="1230"/>
      <c r="F35" s="1231"/>
      <c r="G35" s="703"/>
      <c r="H35" s="88"/>
      <c r="I35" s="157">
        <f>SUM(I16:I34)</f>
        <v>4</v>
      </c>
      <c r="J35" s="162"/>
      <c r="K35" s="168">
        <f>SUM(K16:K34)</f>
        <v>3.92</v>
      </c>
      <c r="L35" s="165"/>
      <c r="M35" s="1154"/>
      <c r="N35" s="1239"/>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154" t="s">
        <v>419</v>
      </c>
      <c r="D36" s="1155"/>
      <c r="E36" s="1155"/>
      <c r="F36" s="1232"/>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233" t="s">
        <v>259</v>
      </c>
      <c r="D37" s="1234"/>
      <c r="E37" s="1234"/>
      <c r="F37" s="1235"/>
      <c r="G37" s="704" t="s">
        <v>31</v>
      </c>
      <c r="H37" s="92" t="s">
        <v>197</v>
      </c>
      <c r="I37" s="204">
        <v>35</v>
      </c>
      <c r="J37" s="162">
        <f t="shared" ref="J37:J40" si="8">IF(A37="Y", I37*2%,0)</f>
        <v>0</v>
      </c>
      <c r="K37" s="167">
        <f t="shared" ref="K37:K40" si="9">I37-J37</f>
        <v>35</v>
      </c>
      <c r="L37" s="164"/>
      <c r="M37" s="1183"/>
      <c r="N37" s="1184"/>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233" t="s">
        <v>421</v>
      </c>
      <c r="D38" s="1234"/>
      <c r="E38" s="1234"/>
      <c r="F38" s="1235"/>
      <c r="G38" s="704" t="s">
        <v>230</v>
      </c>
      <c r="H38" s="92" t="s">
        <v>24</v>
      </c>
      <c r="I38" s="204"/>
      <c r="J38" s="162">
        <f t="shared" si="8"/>
        <v>0</v>
      </c>
      <c r="K38" s="167">
        <f t="shared" si="9"/>
        <v>0</v>
      </c>
      <c r="L38" s="164"/>
      <c r="M38" s="1183"/>
      <c r="N38" s="1184"/>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154" t="s">
        <v>517</v>
      </c>
      <c r="D39" s="1155"/>
      <c r="E39" s="1155"/>
      <c r="F39" s="1232"/>
      <c r="G39" s="704" t="s">
        <v>230</v>
      </c>
      <c r="H39" s="92" t="s">
        <v>82</v>
      </c>
      <c r="I39" s="204"/>
      <c r="J39" s="162">
        <f t="shared" si="8"/>
        <v>0</v>
      </c>
      <c r="K39" s="167">
        <f t="shared" si="9"/>
        <v>0</v>
      </c>
      <c r="L39" s="164"/>
      <c r="M39" s="1183"/>
      <c r="N39" s="1184"/>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233" t="s">
        <v>225</v>
      </c>
      <c r="D40" s="1234"/>
      <c r="E40" s="1234"/>
      <c r="F40" s="1235"/>
      <c r="G40" s="704" t="s">
        <v>31</v>
      </c>
      <c r="H40" s="92" t="s">
        <v>80</v>
      </c>
      <c r="I40" s="204"/>
      <c r="J40" s="162">
        <f t="shared" si="8"/>
        <v>0</v>
      </c>
      <c r="K40" s="167">
        <f t="shared" si="9"/>
        <v>0</v>
      </c>
      <c r="L40" s="164"/>
      <c r="M40" s="1183"/>
      <c r="N40" s="1184"/>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183" t="s">
        <v>492</v>
      </c>
      <c r="D41" s="1240"/>
      <c r="E41" s="1240"/>
      <c r="F41" s="1241"/>
      <c r="G41" s="705" t="s">
        <v>31</v>
      </c>
      <c r="H41" s="96" t="s">
        <v>41</v>
      </c>
      <c r="I41" s="97"/>
      <c r="J41" s="163"/>
      <c r="K41" s="169">
        <f>J42</f>
        <v>0.08</v>
      </c>
      <c r="L41" s="164"/>
      <c r="M41" s="1183"/>
      <c r="N41" s="1184"/>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76" t="s">
        <v>61</v>
      </c>
      <c r="B44" s="1276"/>
      <c r="C44" s="1276"/>
      <c r="D44" s="210"/>
      <c r="E44" s="133"/>
      <c r="F44" s="133"/>
      <c r="K44" s="135"/>
      <c r="L44" s="136"/>
      <c r="P44" s="137"/>
      <c r="Q44" s="137"/>
      <c r="R44" s="137"/>
      <c r="S44" s="137"/>
      <c r="T44" s="137"/>
      <c r="U44" s="138"/>
      <c r="V44" s="138"/>
      <c r="W44" s="139"/>
    </row>
    <row r="45" spans="1:28" s="141" customFormat="1" ht="18" customHeight="1" x14ac:dyDescent="0.2">
      <c r="A45" s="769">
        <v>1</v>
      </c>
      <c r="B45" s="1273"/>
      <c r="C45" s="1274"/>
      <c r="D45" s="1274"/>
      <c r="E45" s="1274"/>
      <c r="F45" s="1274"/>
      <c r="G45" s="1274"/>
      <c r="H45" s="1274"/>
      <c r="I45" s="1274"/>
      <c r="J45" s="1274"/>
      <c r="K45" s="1274"/>
      <c r="L45" s="1274"/>
      <c r="M45" s="1274"/>
      <c r="N45" s="1274"/>
      <c r="O45" s="1274"/>
      <c r="P45" s="1274"/>
      <c r="Q45" s="1274"/>
      <c r="R45" s="1274"/>
      <c r="S45" s="1274"/>
      <c r="T45" s="1274"/>
      <c r="U45" s="1274"/>
      <c r="V45" s="1274"/>
      <c r="W45" s="1275"/>
    </row>
    <row r="46" spans="1:28" s="141" customFormat="1" ht="18" customHeight="1" x14ac:dyDescent="0.2">
      <c r="A46" s="769">
        <v>2</v>
      </c>
      <c r="B46" s="1273"/>
      <c r="C46" s="1274"/>
      <c r="D46" s="1274"/>
      <c r="E46" s="1274"/>
      <c r="F46" s="1274"/>
      <c r="G46" s="1274"/>
      <c r="H46" s="1274"/>
      <c r="I46" s="1274"/>
      <c r="J46" s="1274"/>
      <c r="K46" s="1274"/>
      <c r="L46" s="1274"/>
      <c r="M46" s="1274"/>
      <c r="N46" s="1274"/>
      <c r="O46" s="1274"/>
      <c r="P46" s="1274"/>
      <c r="Q46" s="1274"/>
      <c r="R46" s="1274"/>
      <c r="S46" s="1274"/>
      <c r="T46" s="1274"/>
      <c r="U46" s="1274"/>
      <c r="V46" s="1274"/>
      <c r="W46" s="1275"/>
    </row>
    <row r="47" spans="1:28" s="141" customFormat="1" ht="18" customHeight="1" x14ac:dyDescent="0.2">
      <c r="A47" s="769">
        <v>3</v>
      </c>
      <c r="B47" s="1273"/>
      <c r="C47" s="1274"/>
      <c r="D47" s="1274"/>
      <c r="E47" s="1274"/>
      <c r="F47" s="1274"/>
      <c r="G47" s="1274"/>
      <c r="H47" s="1274"/>
      <c r="I47" s="1274"/>
      <c r="J47" s="1274"/>
      <c r="K47" s="1274"/>
      <c r="L47" s="1274"/>
      <c r="M47" s="1274"/>
      <c r="N47" s="1274"/>
      <c r="O47" s="1274"/>
      <c r="P47" s="1274"/>
      <c r="Q47" s="1274"/>
      <c r="R47" s="1274"/>
      <c r="S47" s="1274"/>
      <c r="T47" s="1274"/>
      <c r="U47" s="1274"/>
      <c r="V47" s="1274"/>
      <c r="W47" s="1275"/>
    </row>
    <row r="48" spans="1:28" s="54" customFormat="1" ht="20.25" customHeight="1" x14ac:dyDescent="0.2">
      <c r="A48" s="769">
        <v>4</v>
      </c>
      <c r="B48" s="1273"/>
      <c r="C48" s="1274"/>
      <c r="D48" s="1274"/>
      <c r="E48" s="1274"/>
      <c r="F48" s="1274"/>
      <c r="G48" s="1274"/>
      <c r="H48" s="1274"/>
      <c r="I48" s="1274"/>
      <c r="J48" s="1274"/>
      <c r="K48" s="1274"/>
      <c r="L48" s="1274"/>
      <c r="M48" s="1274"/>
      <c r="N48" s="1274"/>
      <c r="O48" s="1274"/>
      <c r="P48" s="1274"/>
      <c r="Q48" s="1274"/>
      <c r="R48" s="1274"/>
      <c r="S48" s="1274"/>
      <c r="T48" s="1274"/>
      <c r="U48" s="1274"/>
      <c r="V48" s="1274"/>
      <c r="W48" s="1275"/>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1673" t="s">
        <v>107</v>
      </c>
      <c r="B1" s="1674"/>
      <c r="C1" s="1674"/>
      <c r="D1" s="1674"/>
      <c r="E1" s="1674"/>
      <c r="F1" s="1674"/>
      <c r="G1" s="1674"/>
      <c r="H1" s="1674"/>
      <c r="I1" s="1674"/>
      <c r="J1" s="1674"/>
      <c r="K1" s="1674"/>
      <c r="L1" s="1678"/>
      <c r="M1" s="1678"/>
      <c r="N1" s="1678"/>
      <c r="O1" s="1678"/>
      <c r="P1" s="1678"/>
      <c r="Q1" s="1678"/>
      <c r="R1" s="1678"/>
      <c r="S1" s="1678"/>
      <c r="T1" s="1678"/>
      <c r="U1" s="1678"/>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675" t="s">
        <v>234</v>
      </c>
      <c r="B3" s="1676"/>
      <c r="C3" s="1676"/>
      <c r="D3" s="1676"/>
      <c r="E3" s="1676"/>
      <c r="F3" s="1676"/>
      <c r="G3" s="1676"/>
      <c r="H3" s="1676"/>
      <c r="I3" s="1676"/>
      <c r="J3" s="1676"/>
      <c r="K3" s="1676"/>
      <c r="L3" s="1676"/>
      <c r="M3" s="1676"/>
      <c r="N3" s="1676"/>
      <c r="O3" s="1677"/>
      <c r="P3" s="355"/>
      <c r="Q3" s="1679" t="s">
        <v>261</v>
      </c>
      <c r="R3" s="1680"/>
      <c r="S3" s="1680"/>
      <c r="T3" s="1680"/>
      <c r="U3" s="1680"/>
      <c r="V3" s="1680"/>
      <c r="W3" s="1681"/>
      <c r="Y3" s="356" t="s">
        <v>250</v>
      </c>
      <c r="Z3" s="357"/>
    </row>
    <row r="4" spans="1:28" s="361" customFormat="1" ht="15.75" x14ac:dyDescent="0.2">
      <c r="A4" s="1682" t="s">
        <v>231</v>
      </c>
      <c r="B4" s="1683"/>
      <c r="C4" s="1683"/>
      <c r="D4" s="1684">
        <f>L1</f>
        <v>0</v>
      </c>
      <c r="E4" s="1685"/>
      <c r="F4" s="1668" t="s">
        <v>28</v>
      </c>
      <c r="G4" s="1669"/>
      <c r="H4" s="358"/>
      <c r="I4" s="1670"/>
      <c r="J4" s="1670"/>
      <c r="K4" s="1670"/>
      <c r="L4" s="1671"/>
      <c r="M4" s="1686" t="s">
        <v>257</v>
      </c>
      <c r="N4" s="1686"/>
      <c r="O4" s="359" t="s">
        <v>342</v>
      </c>
      <c r="P4" s="360"/>
      <c r="Q4" s="1687" t="s">
        <v>236</v>
      </c>
      <c r="R4" s="1688"/>
      <c r="S4" s="1688"/>
      <c r="T4" s="1688"/>
      <c r="U4" s="1688"/>
      <c r="V4" s="1688"/>
      <c r="W4" s="1689"/>
      <c r="Y4" s="362" t="s">
        <v>308</v>
      </c>
      <c r="Z4" s="363" t="s">
        <v>309</v>
      </c>
      <c r="AA4" s="363" t="s">
        <v>310</v>
      </c>
    </row>
    <row r="5" spans="1:28" s="361" customFormat="1" ht="15.75" x14ac:dyDescent="0.2">
      <c r="A5" s="1664" t="s">
        <v>4</v>
      </c>
      <c r="B5" s="1665"/>
      <c r="C5" s="1665"/>
      <c r="D5" s="1666"/>
      <c r="E5" s="1667"/>
      <c r="F5" s="1644" t="s">
        <v>244</v>
      </c>
      <c r="G5" s="1645"/>
      <c r="H5" s="364"/>
      <c r="I5" s="1646"/>
      <c r="J5" s="1646"/>
      <c r="K5" s="1646"/>
      <c r="L5" s="1647"/>
      <c r="M5" s="1629" t="s">
        <v>22</v>
      </c>
      <c r="N5" s="1629"/>
      <c r="O5" s="365" t="s">
        <v>342</v>
      </c>
      <c r="P5" s="360"/>
      <c r="Q5" s="1658" t="s">
        <v>343</v>
      </c>
      <c r="R5" s="1659"/>
      <c r="S5" s="1659"/>
      <c r="T5" s="1659"/>
      <c r="U5" s="1659"/>
      <c r="V5" s="1659"/>
      <c r="W5" s="1660"/>
      <c r="Y5" s="366" t="s">
        <v>31</v>
      </c>
      <c r="Z5" s="367">
        <f>SUMIF($G$16:$G$21,"STATE",$K$16:$K$21)</f>
        <v>18.399999999999999</v>
      </c>
      <c r="AA5" s="367">
        <f>SUMIF($G$16:$G$21,"STATE",$S$16:$S$21)</f>
        <v>0</v>
      </c>
    </row>
    <row r="6" spans="1:28" s="361" customFormat="1" ht="16.5" thickBot="1" x14ac:dyDescent="0.25">
      <c r="A6" s="1664" t="s">
        <v>12</v>
      </c>
      <c r="B6" s="1665"/>
      <c r="C6" s="1665"/>
      <c r="D6" s="1666"/>
      <c r="E6" s="1667"/>
      <c r="F6" s="1644" t="s">
        <v>20</v>
      </c>
      <c r="G6" s="1645"/>
      <c r="H6" s="364"/>
      <c r="I6" s="1646" t="s">
        <v>317</v>
      </c>
      <c r="J6" s="1646"/>
      <c r="K6" s="1646"/>
      <c r="L6" s="1647"/>
      <c r="M6" s="1621" t="s">
        <v>233</v>
      </c>
      <c r="N6" s="1621"/>
      <c r="O6" s="368"/>
      <c r="P6" s="360"/>
      <c r="Q6" s="1661"/>
      <c r="R6" s="1662"/>
      <c r="S6" s="1662"/>
      <c r="T6" s="1662"/>
      <c r="U6" s="1662"/>
      <c r="V6" s="1662"/>
      <c r="W6" s="1663"/>
      <c r="Y6" s="366" t="s">
        <v>32</v>
      </c>
      <c r="Z6" s="367">
        <f>SUMIF($G$16:$G$21,"COUNTY",$K$16:$K$21)</f>
        <v>6.6000000000000005</v>
      </c>
      <c r="AA6" s="367">
        <f>SUMIF($G$16:$G$21,"COUNTY",$S$16:$S$21)</f>
        <v>0</v>
      </c>
    </row>
    <row r="7" spans="1:28" s="361" customFormat="1" ht="16.5" customHeight="1" thickBot="1" x14ac:dyDescent="0.25">
      <c r="A7" s="1664" t="s">
        <v>5</v>
      </c>
      <c r="B7" s="1665"/>
      <c r="C7" s="1665"/>
      <c r="D7" s="1672"/>
      <c r="E7" s="1667"/>
      <c r="F7" s="1640" t="s">
        <v>21</v>
      </c>
      <c r="G7" s="1641"/>
      <c r="H7" s="369"/>
      <c r="I7" s="1642" t="s">
        <v>344</v>
      </c>
      <c r="J7" s="1642"/>
      <c r="K7" s="1642"/>
      <c r="L7" s="1643"/>
      <c r="M7" s="370"/>
      <c r="N7" s="371"/>
      <c r="O7" s="372"/>
      <c r="P7" s="360"/>
      <c r="Q7" s="1630" t="s">
        <v>345</v>
      </c>
      <c r="R7" s="1631"/>
      <c r="S7" s="1631"/>
      <c r="T7" s="1631"/>
      <c r="U7" s="1631"/>
      <c r="V7" s="1631"/>
      <c r="W7" s="1632"/>
      <c r="Y7" s="366" t="s">
        <v>52</v>
      </c>
      <c r="Z7" s="367">
        <f>SUMIF($G$16:$G$21,"CITY",$K$16:$K$21)</f>
        <v>0</v>
      </c>
      <c r="AA7" s="367">
        <f>SUMIF($G$16:$G$21,"CITY",$S$16:$S$21)</f>
        <v>0</v>
      </c>
    </row>
    <row r="8" spans="1:28" s="361" customFormat="1" ht="15.75" customHeight="1" x14ac:dyDescent="0.2">
      <c r="A8" s="1656" t="s">
        <v>444</v>
      </c>
      <c r="B8" s="1657"/>
      <c r="C8" s="1657"/>
      <c r="D8" s="1328" t="s">
        <v>436</v>
      </c>
      <c r="E8" s="1372"/>
      <c r="F8" s="1668" t="s">
        <v>253</v>
      </c>
      <c r="G8" s="1669"/>
      <c r="H8" s="358"/>
      <c r="I8" s="1670"/>
      <c r="J8" s="1670"/>
      <c r="K8" s="1670"/>
      <c r="L8" s="1671"/>
      <c r="M8" s="1628" t="s">
        <v>257</v>
      </c>
      <c r="N8" s="1628"/>
      <c r="O8" s="373" t="s">
        <v>342</v>
      </c>
      <c r="P8" s="374"/>
      <c r="Q8" s="1633"/>
      <c r="R8" s="1634"/>
      <c r="S8" s="1634"/>
      <c r="T8" s="1634"/>
      <c r="U8" s="1634"/>
      <c r="V8" s="1634"/>
      <c r="W8" s="1635"/>
      <c r="Y8" s="366" t="s">
        <v>230</v>
      </c>
      <c r="Z8" s="367">
        <f>SUMIF($G$16:$G$21,"COURT",$K$16:$K$21)</f>
        <v>0</v>
      </c>
      <c r="AA8" s="367">
        <f>SUMIF($G$16:$G$21,"COURT",$S$16:$S$21)</f>
        <v>0</v>
      </c>
    </row>
    <row r="9" spans="1:28" s="361" customFormat="1" ht="18" customHeight="1" x14ac:dyDescent="0.2">
      <c r="A9" s="1650" t="s">
        <v>85</v>
      </c>
      <c r="B9" s="1651"/>
      <c r="C9" s="1651"/>
      <c r="D9" s="1648" t="str">
        <f>IF(D8="Yes", "No", "Yes")</f>
        <v>No</v>
      </c>
      <c r="E9" s="1649"/>
      <c r="F9" s="1644" t="s">
        <v>244</v>
      </c>
      <c r="G9" s="1645"/>
      <c r="H9" s="364"/>
      <c r="I9" s="1646"/>
      <c r="J9" s="1646"/>
      <c r="K9" s="1646"/>
      <c r="L9" s="1647"/>
      <c r="M9" s="1629" t="s">
        <v>22</v>
      </c>
      <c r="N9" s="1629"/>
      <c r="O9" s="365" t="s">
        <v>342</v>
      </c>
      <c r="P9" s="374"/>
      <c r="Q9" s="1622" t="s">
        <v>431</v>
      </c>
      <c r="R9" s="1623"/>
      <c r="S9" s="1623"/>
      <c r="T9" s="1623"/>
      <c r="U9" s="1623"/>
      <c r="V9" s="1623"/>
      <c r="W9" s="1624"/>
      <c r="Y9" s="153" t="s">
        <v>446</v>
      </c>
      <c r="Z9" s="176">
        <f>SUMIF($G$16:$G$21,"CNTY or CTY",$K$16:$K$21)</f>
        <v>0</v>
      </c>
      <c r="AA9" s="176">
        <f>SUMIF($G$16:$G$21,"CNTY or CTY",$S$16:$S$21)</f>
        <v>0</v>
      </c>
    </row>
    <row r="10" spans="1:28" s="361" customFormat="1" ht="16.5" customHeight="1" thickBot="1" x14ac:dyDescent="0.25">
      <c r="A10" s="1652" t="s">
        <v>346</v>
      </c>
      <c r="B10" s="1653"/>
      <c r="C10" s="1653"/>
      <c r="D10" s="1654">
        <v>1</v>
      </c>
      <c r="E10" s="1655"/>
      <c r="F10" s="1644" t="s">
        <v>20</v>
      </c>
      <c r="G10" s="1645"/>
      <c r="H10" s="364"/>
      <c r="I10" s="1646"/>
      <c r="J10" s="1646"/>
      <c r="K10" s="1646"/>
      <c r="L10" s="1647"/>
      <c r="M10" s="1621" t="s">
        <v>233</v>
      </c>
      <c r="N10" s="1621"/>
      <c r="O10" s="368"/>
      <c r="P10" s="375"/>
      <c r="Q10" s="1625"/>
      <c r="R10" s="1626"/>
      <c r="S10" s="1626"/>
      <c r="T10" s="1626"/>
      <c r="U10" s="1626"/>
      <c r="V10" s="1626"/>
      <c r="W10" s="1627"/>
      <c r="Y10" s="376" t="s">
        <v>246</v>
      </c>
      <c r="Z10" s="377">
        <f>SUM(Z5:Z9)</f>
        <v>25</v>
      </c>
      <c r="AA10" s="377">
        <f>SUM(AA5:AA9)</f>
        <v>0</v>
      </c>
    </row>
    <row r="11" spans="1:28" s="361" customFormat="1" ht="16.5" customHeight="1" thickTop="1" thickBot="1" x14ac:dyDescent="0.25">
      <c r="A11" s="1637"/>
      <c r="B11" s="1637"/>
      <c r="C11" s="1637"/>
      <c r="D11" s="1638"/>
      <c r="E11" s="1639"/>
      <c r="F11" s="1640" t="s">
        <v>21</v>
      </c>
      <c r="G11" s="1641"/>
      <c r="H11" s="369"/>
      <c r="I11" s="1642"/>
      <c r="J11" s="1642"/>
      <c r="K11" s="1642"/>
      <c r="L11" s="1643"/>
      <c r="M11" s="378"/>
      <c r="N11" s="379"/>
      <c r="O11" s="380"/>
      <c r="P11" s="381"/>
      <c r="Q11" s="1636"/>
      <c r="R11" s="1636"/>
      <c r="S11" s="1636"/>
      <c r="T11" s="1636"/>
      <c r="U11" s="1636"/>
      <c r="V11" s="1636"/>
      <c r="W11" s="1636"/>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587" t="s">
        <v>347</v>
      </c>
      <c r="J13" s="1588"/>
      <c r="K13" s="1589"/>
      <c r="L13" s="398"/>
      <c r="M13" s="1615" t="s">
        <v>229</v>
      </c>
      <c r="N13" s="1616"/>
      <c r="O13" s="1617"/>
      <c r="P13" s="399"/>
      <c r="Q13" s="1618" t="s">
        <v>295</v>
      </c>
      <c r="R13" s="1619"/>
      <c r="S13" s="1620"/>
      <c r="T13" s="400"/>
      <c r="U13" s="401"/>
      <c r="V13" s="401"/>
      <c r="W13" s="402"/>
      <c r="X13" s="396"/>
      <c r="Y13" s="396"/>
      <c r="Z13" s="396"/>
      <c r="AA13" s="396"/>
      <c r="AB13" s="396"/>
    </row>
    <row r="14" spans="1:28" ht="44.25" customHeight="1" thickBot="1" x14ac:dyDescent="0.25">
      <c r="A14" s="403">
        <v>0.02</v>
      </c>
      <c r="B14" s="403" t="s">
        <v>58</v>
      </c>
      <c r="C14" s="1603" t="s">
        <v>226</v>
      </c>
      <c r="D14" s="1604"/>
      <c r="E14" s="1604"/>
      <c r="F14" s="1605"/>
      <c r="G14" s="404" t="s">
        <v>249</v>
      </c>
      <c r="H14" s="405" t="s">
        <v>0</v>
      </c>
      <c r="I14" s="1609" t="s">
        <v>315</v>
      </c>
      <c r="J14" s="1601" t="s">
        <v>6</v>
      </c>
      <c r="K14" s="406" t="s">
        <v>299</v>
      </c>
      <c r="L14" s="407"/>
      <c r="M14" s="1611" t="s">
        <v>260</v>
      </c>
      <c r="N14" s="1612"/>
      <c r="O14" s="408" t="s">
        <v>248</v>
      </c>
      <c r="P14" s="409"/>
      <c r="Q14" s="410" t="s">
        <v>296</v>
      </c>
      <c r="R14" s="1601" t="s">
        <v>6</v>
      </c>
      <c r="S14" s="406" t="s">
        <v>299</v>
      </c>
      <c r="T14" s="411"/>
      <c r="U14" s="412" t="s">
        <v>256</v>
      </c>
      <c r="V14" s="1289" t="s">
        <v>61</v>
      </c>
      <c r="W14" s="1291" t="s">
        <v>384</v>
      </c>
    </row>
    <row r="15" spans="1:28" ht="30.75" customHeight="1" thickBot="1" x14ac:dyDescent="0.25">
      <c r="A15" s="414"/>
      <c r="B15" s="414"/>
      <c r="C15" s="1606"/>
      <c r="D15" s="1607"/>
      <c r="E15" s="1607"/>
      <c r="F15" s="1608"/>
      <c r="G15" s="415"/>
      <c r="H15" s="415"/>
      <c r="I15" s="1610"/>
      <c r="J15" s="1602"/>
      <c r="K15" s="416" t="s">
        <v>42</v>
      </c>
      <c r="L15" s="417"/>
      <c r="M15" s="1613"/>
      <c r="N15" s="1614"/>
      <c r="O15" s="418" t="s">
        <v>43</v>
      </c>
      <c r="P15" s="409"/>
      <c r="Q15" s="419" t="e">
        <f>#REF!/#REF!</f>
        <v>#REF!</v>
      </c>
      <c r="R15" s="1602"/>
      <c r="S15" s="416" t="s">
        <v>44</v>
      </c>
      <c r="T15" s="411"/>
      <c r="U15" s="420" t="s">
        <v>300</v>
      </c>
      <c r="V15" s="1290"/>
      <c r="W15" s="1292"/>
    </row>
    <row r="16" spans="1:28" s="437" customFormat="1" ht="15.75" hidden="1" customHeight="1" thickTop="1" x14ac:dyDescent="0.2">
      <c r="A16" s="421" t="s">
        <v>7</v>
      </c>
      <c r="B16" s="422"/>
      <c r="C16" s="1593"/>
      <c r="D16" s="1593"/>
      <c r="E16" s="1593"/>
      <c r="F16" s="1593"/>
      <c r="G16" s="423"/>
      <c r="H16" s="424"/>
      <c r="I16" s="425"/>
      <c r="J16" s="426"/>
      <c r="K16" s="427"/>
      <c r="L16" s="428"/>
      <c r="M16" s="1599"/>
      <c r="N16" s="1600"/>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594"/>
      <c r="D17" s="1597"/>
      <c r="E17" s="1597"/>
      <c r="F17" s="1598"/>
      <c r="G17" s="439"/>
      <c r="H17" s="440"/>
      <c r="I17" s="441"/>
      <c r="J17" s="426"/>
      <c r="K17" s="442"/>
      <c r="L17" s="428"/>
      <c r="M17" s="1594"/>
      <c r="N17" s="1595"/>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591" t="s">
        <v>342</v>
      </c>
      <c r="C18" s="1593" t="s">
        <v>348</v>
      </c>
      <c r="D18" s="1593"/>
      <c r="E18" s="1593"/>
      <c r="F18" s="1593"/>
      <c r="G18" s="700" t="str">
        <f>IF($D$8="Yes", "COUNTY","CITY")</f>
        <v>COUNTY</v>
      </c>
      <c r="H18" s="440" t="s">
        <v>25</v>
      </c>
      <c r="I18" s="441">
        <f>IF($D$10&gt;0,10*33%, 0)</f>
        <v>3.3000000000000003</v>
      </c>
      <c r="J18" s="426">
        <f>IF(A18="Y",I18* 2%,0)</f>
        <v>0</v>
      </c>
      <c r="K18" s="442">
        <f>I18-J18</f>
        <v>3.3000000000000003</v>
      </c>
      <c r="L18" s="428"/>
      <c r="M18" s="1594"/>
      <c r="N18" s="1595"/>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591"/>
      <c r="C19" s="1593" t="s">
        <v>349</v>
      </c>
      <c r="D19" s="1593"/>
      <c r="E19" s="1593"/>
      <c r="F19" s="1593"/>
      <c r="G19" s="700" t="s">
        <v>31</v>
      </c>
      <c r="H19" s="440" t="s">
        <v>26</v>
      </c>
      <c r="I19" s="441">
        <f>IF($D$10&gt;0,10*34%, 0)</f>
        <v>3.4000000000000004</v>
      </c>
      <c r="J19" s="426">
        <f>IF(A19="Y",I19* 2%,0)</f>
        <v>0</v>
      </c>
      <c r="K19" s="442">
        <f>I19-J19</f>
        <v>3.4000000000000004</v>
      </c>
      <c r="L19" s="428"/>
      <c r="M19" s="1594"/>
      <c r="N19" s="1595"/>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591"/>
      <c r="C20" s="1593" t="s">
        <v>348</v>
      </c>
      <c r="D20" s="1593"/>
      <c r="E20" s="1593"/>
      <c r="F20" s="1593"/>
      <c r="G20" s="700" t="s">
        <v>32</v>
      </c>
      <c r="H20" s="440" t="s">
        <v>27</v>
      </c>
      <c r="I20" s="441">
        <f>IF($D$10&gt;0,10*33%, 0)</f>
        <v>3.3000000000000003</v>
      </c>
      <c r="J20" s="426">
        <f>IF(A20="Y",I20* 2%,0)</f>
        <v>0</v>
      </c>
      <c r="K20" s="442">
        <f>I20-J20</f>
        <v>3.3000000000000003</v>
      </c>
      <c r="L20" s="428"/>
      <c r="M20" s="1594"/>
      <c r="N20" s="1595"/>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592"/>
      <c r="C21" s="1596" t="s">
        <v>453</v>
      </c>
      <c r="D21" s="1596"/>
      <c r="E21" s="1596"/>
      <c r="F21" s="1596"/>
      <c r="G21" s="698" t="s">
        <v>31</v>
      </c>
      <c r="H21" s="440" t="s">
        <v>197</v>
      </c>
      <c r="I21" s="449">
        <f>($D$10*25)-SUM(I18:I20)</f>
        <v>14.999999999999998</v>
      </c>
      <c r="J21" s="426">
        <f>IF(A21="Y",I21* 2%,0)</f>
        <v>0</v>
      </c>
      <c r="K21" s="442">
        <f>I21-J21</f>
        <v>14.999999999999998</v>
      </c>
      <c r="L21" s="428"/>
      <c r="M21" s="1594"/>
      <c r="N21" s="1595"/>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590" t="s">
        <v>61</v>
      </c>
      <c r="B24" s="1590"/>
      <c r="C24" s="1590"/>
      <c r="D24" s="476"/>
      <c r="E24" s="477"/>
      <c r="F24" s="477"/>
      <c r="K24" s="478"/>
      <c r="L24" s="479"/>
      <c r="P24" s="480"/>
      <c r="Q24" s="480"/>
      <c r="R24" s="480"/>
      <c r="S24" s="480"/>
      <c r="T24" s="480"/>
      <c r="U24" s="481"/>
      <c r="V24" s="481"/>
      <c r="W24" s="482"/>
    </row>
    <row r="25" spans="1:28" s="483" customFormat="1" ht="18" customHeight="1" x14ac:dyDescent="0.2">
      <c r="A25" s="769">
        <v>1</v>
      </c>
      <c r="B25" s="1586"/>
      <c r="C25" s="1586"/>
      <c r="D25" s="1586"/>
      <c r="E25" s="1586"/>
      <c r="F25" s="1586"/>
      <c r="G25" s="1586"/>
      <c r="H25" s="1586"/>
      <c r="I25" s="1586"/>
      <c r="J25" s="1586"/>
      <c r="K25" s="1586"/>
      <c r="L25" s="1586"/>
      <c r="M25" s="1586"/>
      <c r="N25" s="1586"/>
      <c r="O25" s="1586"/>
      <c r="P25" s="1586"/>
      <c r="Q25" s="1586"/>
      <c r="R25" s="1586"/>
      <c r="S25" s="1586"/>
      <c r="T25" s="1586"/>
      <c r="U25" s="1586"/>
      <c r="V25" s="1586"/>
      <c r="W25" s="1586"/>
    </row>
    <row r="26" spans="1:28" s="483" customFormat="1" ht="18" customHeight="1" x14ac:dyDescent="0.2">
      <c r="A26" s="769">
        <v>2</v>
      </c>
      <c r="B26" s="1586"/>
      <c r="C26" s="1586"/>
      <c r="D26" s="1586"/>
      <c r="E26" s="1586"/>
      <c r="F26" s="1586"/>
      <c r="G26" s="1586"/>
      <c r="H26" s="1586"/>
      <c r="I26" s="1586"/>
      <c r="J26" s="1586"/>
      <c r="K26" s="1586"/>
      <c r="L26" s="1586"/>
      <c r="M26" s="1586"/>
      <c r="N26" s="1586"/>
      <c r="O26" s="1586"/>
      <c r="P26" s="1586"/>
      <c r="Q26" s="1586"/>
      <c r="R26" s="1586"/>
      <c r="S26" s="1586"/>
      <c r="T26" s="1586"/>
      <c r="U26" s="1586"/>
      <c r="V26" s="1586"/>
      <c r="W26" s="1586"/>
    </row>
    <row r="27" spans="1:28" s="483" customFormat="1" ht="18" customHeight="1" x14ac:dyDescent="0.2">
      <c r="A27" s="769">
        <v>3</v>
      </c>
      <c r="B27" s="1586"/>
      <c r="C27" s="1586"/>
      <c r="D27" s="1586"/>
      <c r="E27" s="1586"/>
      <c r="F27" s="1586"/>
      <c r="G27" s="1586"/>
      <c r="H27" s="1586"/>
      <c r="I27" s="1586"/>
      <c r="J27" s="1586"/>
      <c r="K27" s="1586"/>
      <c r="L27" s="1586"/>
      <c r="M27" s="1586"/>
      <c r="N27" s="1586"/>
      <c r="O27" s="1586"/>
      <c r="P27" s="1586"/>
      <c r="Q27" s="1586"/>
      <c r="R27" s="1586"/>
      <c r="S27" s="1586"/>
      <c r="T27" s="1586"/>
      <c r="U27" s="1586"/>
      <c r="V27" s="1586"/>
      <c r="W27" s="1586"/>
    </row>
    <row r="28" spans="1:28" s="351" customFormat="1" ht="21" customHeight="1" x14ac:dyDescent="0.2">
      <c r="A28" s="769">
        <v>4</v>
      </c>
      <c r="B28" s="1586"/>
      <c r="C28" s="1586"/>
      <c r="D28" s="1586"/>
      <c r="E28" s="1586"/>
      <c r="F28" s="1586"/>
      <c r="G28" s="1586"/>
      <c r="H28" s="1586"/>
      <c r="I28" s="1586"/>
      <c r="J28" s="1586"/>
      <c r="K28" s="1586"/>
      <c r="L28" s="1586"/>
      <c r="M28" s="1586"/>
      <c r="N28" s="1586"/>
      <c r="O28" s="1586"/>
      <c r="P28" s="1586"/>
      <c r="Q28" s="1586"/>
      <c r="R28" s="1586"/>
      <c r="S28" s="1586"/>
      <c r="T28" s="1586"/>
      <c r="U28" s="1586"/>
      <c r="V28" s="1586"/>
      <c r="W28" s="1586"/>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187" t="s">
        <v>108</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5"/>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54" t="s">
        <v>28</v>
      </c>
      <c r="G4" s="1197"/>
      <c r="H4" s="208"/>
      <c r="I4" s="1347" t="s">
        <v>390</v>
      </c>
      <c r="J4" s="1347"/>
      <c r="K4" s="1347"/>
      <c r="L4" s="1347"/>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228" t="s">
        <v>244</v>
      </c>
      <c r="G5" s="1196"/>
      <c r="H5" s="185"/>
      <c r="I5" s="1310" t="s">
        <v>326</v>
      </c>
      <c r="J5" s="1310"/>
      <c r="K5" s="1310"/>
      <c r="L5" s="1310"/>
      <c r="M5" s="1338" t="s">
        <v>22</v>
      </c>
      <c r="N5" s="1338"/>
      <c r="O5" s="58"/>
      <c r="P5" s="238"/>
      <c r="Q5" s="1339" t="s">
        <v>302</v>
      </c>
      <c r="R5" s="1340"/>
      <c r="S5" s="1340"/>
      <c r="T5" s="1340"/>
      <c r="U5" s="1340"/>
      <c r="V5" s="1340"/>
      <c r="W5" s="1341"/>
      <c r="Y5" s="172" t="s">
        <v>31</v>
      </c>
      <c r="Z5" s="176">
        <f>SUMIF($G$16:$G$41,"STATE",$K$16:$K$41)</f>
        <v>91.74</v>
      </c>
      <c r="AA5" s="176">
        <f>SUMIF($G$16:$G$41,"STATE",$S$16:$S$41)</f>
        <v>0</v>
      </c>
    </row>
    <row r="6" spans="1:28" s="57" customFormat="1" ht="16.5" thickBot="1" x14ac:dyDescent="0.25">
      <c r="A6" s="1200" t="s">
        <v>12</v>
      </c>
      <c r="B6" s="1201"/>
      <c r="C6" s="1201"/>
      <c r="D6" s="1221"/>
      <c r="E6" s="1333"/>
      <c r="F6" s="1228" t="s">
        <v>20</v>
      </c>
      <c r="G6" s="1196"/>
      <c r="H6" s="185"/>
      <c r="I6" s="1310" t="s">
        <v>317</v>
      </c>
      <c r="J6" s="1310"/>
      <c r="K6" s="1310"/>
      <c r="L6" s="1310"/>
      <c r="M6" s="1334" t="s">
        <v>233</v>
      </c>
      <c r="N6" s="1334"/>
      <c r="O6" s="212">
        <f>O4+O5*10</f>
        <v>0</v>
      </c>
      <c r="P6" s="238"/>
      <c r="Q6" s="1335" t="s">
        <v>573</v>
      </c>
      <c r="R6" s="1336"/>
      <c r="S6" s="1336"/>
      <c r="T6" s="1336"/>
      <c r="U6" s="1336"/>
      <c r="V6" s="1336"/>
      <c r="W6" s="1337"/>
      <c r="Y6" s="172" t="s">
        <v>32</v>
      </c>
      <c r="Z6" s="176">
        <f>SUMIF($G$16:$G$41,"COUNTY",$K$16:$K$41)</f>
        <v>-29.89</v>
      </c>
      <c r="AA6" s="176">
        <f>SUMIF($G$16:$G$41,"COUNTY",$S$16:$S$41)</f>
        <v>0</v>
      </c>
    </row>
    <row r="7" spans="1:28" s="57" customFormat="1" ht="16.5" thickBot="1" x14ac:dyDescent="0.25">
      <c r="A7" s="1200" t="s">
        <v>5</v>
      </c>
      <c r="B7" s="1201"/>
      <c r="C7" s="1201"/>
      <c r="D7" s="1158"/>
      <c r="E7" s="1193"/>
      <c r="F7" s="1227" t="s">
        <v>21</v>
      </c>
      <c r="G7" s="1182"/>
      <c r="H7" s="241"/>
      <c r="I7" s="1321" t="s">
        <v>3</v>
      </c>
      <c r="J7" s="1321"/>
      <c r="K7" s="1321"/>
      <c r="L7" s="1322"/>
      <c r="M7" s="235"/>
      <c r="N7" s="242"/>
      <c r="O7" s="236"/>
      <c r="P7" s="238"/>
      <c r="Q7" s="1323" t="s">
        <v>235</v>
      </c>
      <c r="R7" s="1324"/>
      <c r="S7" s="1324"/>
      <c r="T7" s="1324"/>
      <c r="U7" s="1324"/>
      <c r="V7" s="1324"/>
      <c r="W7" s="1325"/>
      <c r="Y7" s="172" t="s">
        <v>52</v>
      </c>
      <c r="Z7" s="176">
        <f>SUMIF($G$16:$G$41,"CITY",$K$16:$K$41)</f>
        <v>0</v>
      </c>
      <c r="AA7" s="176">
        <f>SUMIF($G$16:$G$41,"CITY",$S$16:$S$41)</f>
        <v>0</v>
      </c>
    </row>
    <row r="8" spans="1:28" s="57" customFormat="1" ht="15.75" customHeight="1" x14ac:dyDescent="0.2">
      <c r="A8" s="1326" t="s">
        <v>54</v>
      </c>
      <c r="B8" s="1327"/>
      <c r="C8" s="1327"/>
      <c r="D8" s="1328">
        <v>1</v>
      </c>
      <c r="E8" s="1372"/>
      <c r="F8" s="1202" t="s">
        <v>381</v>
      </c>
      <c r="G8" s="1199"/>
      <c r="H8" s="187"/>
      <c r="I8" s="1332"/>
      <c r="J8" s="1332"/>
      <c r="K8" s="1332"/>
      <c r="L8" s="1332"/>
      <c r="M8" s="1373" t="s">
        <v>257</v>
      </c>
      <c r="N8" s="1373"/>
      <c r="O8" s="55"/>
      <c r="P8" s="239"/>
      <c r="Q8" s="1314" t="s">
        <v>303</v>
      </c>
      <c r="R8" s="1266"/>
      <c r="S8" s="1266"/>
      <c r="T8" s="1266"/>
      <c r="U8" s="1266"/>
      <c r="V8" s="1266"/>
      <c r="W8" s="1315"/>
      <c r="Y8" s="172" t="s">
        <v>230</v>
      </c>
      <c r="Z8" s="176">
        <f>SUMIF($G$16:$G$41,"COURT",$K$16:$K$41)</f>
        <v>17.149999999999999</v>
      </c>
      <c r="AA8" s="176">
        <f>SUMIF($G$16:$G$41,"COURT",$S$16:$S$41)</f>
        <v>0</v>
      </c>
    </row>
    <row r="9" spans="1:28" s="57" customFormat="1" ht="18" customHeight="1" thickBot="1" x14ac:dyDescent="0.25">
      <c r="A9" s="1318" t="s">
        <v>53</v>
      </c>
      <c r="B9" s="1319"/>
      <c r="C9" s="1319"/>
      <c r="D9" s="1189">
        <f>100%-D8</f>
        <v>0</v>
      </c>
      <c r="E9" s="1190"/>
      <c r="F9" s="1228" t="s">
        <v>244</v>
      </c>
      <c r="G9" s="1196"/>
      <c r="H9" s="185"/>
      <c r="I9" s="1310"/>
      <c r="J9" s="1310"/>
      <c r="K9" s="1310"/>
      <c r="L9" s="1310"/>
      <c r="M9" s="1338" t="s">
        <v>22</v>
      </c>
      <c r="N9" s="1338"/>
      <c r="O9" s="58"/>
      <c r="P9" s="239"/>
      <c r="Q9" s="1316"/>
      <c r="R9" s="1269"/>
      <c r="S9" s="1269"/>
      <c r="T9" s="1269"/>
      <c r="U9" s="1269"/>
      <c r="V9" s="1269"/>
      <c r="W9" s="1317"/>
      <c r="Y9" s="153" t="s">
        <v>446</v>
      </c>
      <c r="Z9" s="176">
        <f>SUMIF($G$16:$G$41,"CNTY or CTY",$K$16:$K$41)</f>
        <v>0</v>
      </c>
      <c r="AA9" s="176">
        <f>SUMIF($G$16:$G$41,"CNTY or CTY",$S$16:$S$41)</f>
        <v>0</v>
      </c>
    </row>
    <row r="10" spans="1:28" s="57" customFormat="1" ht="16.5" customHeight="1" thickBot="1" x14ac:dyDescent="0.25">
      <c r="A10" s="1152" t="s">
        <v>276</v>
      </c>
      <c r="B10" s="1153"/>
      <c r="C10" s="1153"/>
      <c r="D10" s="1148">
        <f>O6+O10</f>
        <v>0</v>
      </c>
      <c r="E10" s="1149"/>
      <c r="F10" s="1228" t="s">
        <v>20</v>
      </c>
      <c r="G10" s="1196"/>
      <c r="H10" s="185"/>
      <c r="I10" s="1310"/>
      <c r="J10" s="1310"/>
      <c r="K10" s="1310"/>
      <c r="L10" s="1310"/>
      <c r="M10" s="1334" t="s">
        <v>233</v>
      </c>
      <c r="N10" s="1334"/>
      <c r="O10" s="212">
        <f>O8+O9*10</f>
        <v>0</v>
      </c>
      <c r="P10" s="240"/>
      <c r="Q10" s="1311" t="s">
        <v>239</v>
      </c>
      <c r="R10" s="1312"/>
      <c r="S10" s="1312"/>
      <c r="T10" s="1312"/>
      <c r="U10" s="1312"/>
      <c r="V10" s="1312"/>
      <c r="W10" s="1313"/>
      <c r="Y10" s="540" t="s">
        <v>246</v>
      </c>
      <c r="Z10" s="148">
        <f>SUM(Z5:Z9)</f>
        <v>79</v>
      </c>
      <c r="AA10" s="148">
        <f>SUM(AA5:AA9)</f>
        <v>0</v>
      </c>
    </row>
    <row r="11" spans="1:28" s="57" customFormat="1" ht="16.5" customHeight="1" thickBot="1" x14ac:dyDescent="0.25">
      <c r="A11" s="1150" t="s">
        <v>277</v>
      </c>
      <c r="B11" s="1151"/>
      <c r="C11" s="1151"/>
      <c r="D11" s="1146">
        <f>ROUNDUP(D10/10,0)</f>
        <v>0</v>
      </c>
      <c r="E11" s="1147"/>
      <c r="F11" s="1294" t="s">
        <v>21</v>
      </c>
      <c r="G11" s="1174"/>
      <c r="H11" s="186"/>
      <c r="I11" s="1295"/>
      <c r="J11" s="1295"/>
      <c r="K11" s="1295"/>
      <c r="L11" s="1690"/>
      <c r="M11" s="1416" t="s">
        <v>568</v>
      </c>
      <c r="N11" s="1448"/>
      <c r="O11" s="780">
        <f>'1-DUI (Reduce Base)'!P11</f>
        <v>7</v>
      </c>
      <c r="P11" s="240"/>
      <c r="Q11" s="1296" t="s">
        <v>430</v>
      </c>
      <c r="R11" s="1297"/>
      <c r="S11" s="1297"/>
      <c r="T11" s="1297"/>
      <c r="U11" s="1297"/>
      <c r="V11" s="1297"/>
      <c r="W11" s="1298"/>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544">
        <v>0.02</v>
      </c>
      <c r="B14" s="544" t="s">
        <v>58</v>
      </c>
      <c r="C14" s="1160" t="s">
        <v>226</v>
      </c>
      <c r="D14" s="1161"/>
      <c r="E14" s="1161"/>
      <c r="F14" s="1162"/>
      <c r="G14" s="548" t="s">
        <v>249</v>
      </c>
      <c r="H14" s="114" t="s">
        <v>0</v>
      </c>
      <c r="I14" s="542" t="s">
        <v>298</v>
      </c>
      <c r="J14" s="1287" t="s">
        <v>6</v>
      </c>
      <c r="K14" s="547" t="s">
        <v>299</v>
      </c>
      <c r="L14" s="67"/>
      <c r="M14" s="1256" t="s">
        <v>260</v>
      </c>
      <c r="N14" s="1257"/>
      <c r="O14" s="546" t="s">
        <v>248</v>
      </c>
      <c r="P14" s="121"/>
      <c r="Q14" s="690" t="s">
        <v>428</v>
      </c>
      <c r="R14" s="1287" t="s">
        <v>6</v>
      </c>
      <c r="S14" s="547" t="s">
        <v>299</v>
      </c>
      <c r="T14" s="228"/>
      <c r="U14" s="541" t="s">
        <v>256</v>
      </c>
      <c r="V14" s="1289" t="s">
        <v>61</v>
      </c>
      <c r="W14" s="1291" t="s">
        <v>384</v>
      </c>
    </row>
    <row r="15" spans="1:28" ht="30.75" customHeight="1" thickBot="1" x14ac:dyDescent="0.25">
      <c r="A15" s="545"/>
      <c r="B15" s="545"/>
      <c r="C15" s="1163"/>
      <c r="D15" s="1164"/>
      <c r="E15" s="1164"/>
      <c r="F15" s="1165"/>
      <c r="G15" s="549"/>
      <c r="H15" s="549"/>
      <c r="I15" s="543"/>
      <c r="J15" s="1288"/>
      <c r="K15" s="244" t="s">
        <v>42</v>
      </c>
      <c r="L15" s="68"/>
      <c r="M15" s="1254"/>
      <c r="N15" s="1255"/>
      <c r="O15" s="245" t="s">
        <v>43</v>
      </c>
      <c r="P15" s="121"/>
      <c r="Q15" s="246" t="e">
        <f>(Q35-Q31)/(I35-I31)</f>
        <v>#DIV/0!</v>
      </c>
      <c r="R15" s="1288"/>
      <c r="S15" s="244" t="s">
        <v>44</v>
      </c>
      <c r="T15" s="228"/>
      <c r="U15" s="298" t="s">
        <v>300</v>
      </c>
      <c r="V15" s="1290"/>
      <c r="W15" s="1292"/>
    </row>
    <row r="16" spans="1:28" s="74" customFormat="1" ht="15.75" thickTop="1" x14ac:dyDescent="0.2">
      <c r="A16" s="69" t="s">
        <v>8</v>
      </c>
      <c r="B16" s="1178" t="s">
        <v>241</v>
      </c>
      <c r="C16" s="1285" t="s">
        <v>475</v>
      </c>
      <c r="D16" s="1226"/>
      <c r="E16" s="1226"/>
      <c r="F16" s="1226"/>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178"/>
      <c r="C17" s="1286" t="s">
        <v>553</v>
      </c>
      <c r="D17" s="1172"/>
      <c r="E17" s="1172"/>
      <c r="F17" s="1172"/>
      <c r="G17" s="694" t="s">
        <v>31</v>
      </c>
      <c r="H17" s="77" t="s">
        <v>75</v>
      </c>
      <c r="I17" s="156">
        <v>3</v>
      </c>
      <c r="J17" s="162">
        <f t="shared" si="0"/>
        <v>0.06</v>
      </c>
      <c r="K17" s="167">
        <f t="shared" si="1"/>
        <v>2.94</v>
      </c>
      <c r="L17" s="164"/>
      <c r="M17" s="1183"/>
      <c r="N17" s="1184"/>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178"/>
      <c r="C18" s="1286" t="s">
        <v>554</v>
      </c>
      <c r="D18" s="1172"/>
      <c r="E18" s="1172"/>
      <c r="F18" s="1172"/>
      <c r="G18" s="694" t="s">
        <v>31</v>
      </c>
      <c r="H18" s="77" t="s">
        <v>10</v>
      </c>
      <c r="I18" s="156">
        <v>10</v>
      </c>
      <c r="J18" s="162">
        <f t="shared" si="0"/>
        <v>0.2</v>
      </c>
      <c r="K18" s="167">
        <f t="shared" si="1"/>
        <v>9.8000000000000007</v>
      </c>
      <c r="L18" s="164"/>
      <c r="M18" s="1183"/>
      <c r="N18" s="1184"/>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178"/>
      <c r="C19" s="1172" t="s">
        <v>212</v>
      </c>
      <c r="D19" s="1172"/>
      <c r="E19" s="1172"/>
      <c r="F19" s="1172"/>
      <c r="G19" s="694" t="s">
        <v>32</v>
      </c>
      <c r="H19" s="77" t="s">
        <v>27</v>
      </c>
      <c r="I19" s="155">
        <f>(D10-SUM(I16:I18))*D8</f>
        <v>-30.5</v>
      </c>
      <c r="J19" s="162">
        <f t="shared" si="0"/>
        <v>-0.61</v>
      </c>
      <c r="K19" s="167">
        <f t="shared" si="1"/>
        <v>-29.89</v>
      </c>
      <c r="L19" s="164"/>
      <c r="M19" s="1183"/>
      <c r="N19" s="1184"/>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179"/>
      <c r="C20" s="1172" t="s">
        <v>213</v>
      </c>
      <c r="D20" s="1172"/>
      <c r="E20" s="1172"/>
      <c r="F20" s="1172"/>
      <c r="G20" s="694" t="s">
        <v>52</v>
      </c>
      <c r="H20" s="77" t="s">
        <v>25</v>
      </c>
      <c r="I20" s="155">
        <f>(D10-SUM(I16:I18))*D9</f>
        <v>0</v>
      </c>
      <c r="J20" s="162">
        <f t="shared" si="0"/>
        <v>0</v>
      </c>
      <c r="K20" s="167">
        <f t="shared" si="1"/>
        <v>0</v>
      </c>
      <c r="L20" s="164"/>
      <c r="M20" s="1183"/>
      <c r="N20" s="1184"/>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172" t="s">
        <v>546</v>
      </c>
      <c r="D21" s="1172"/>
      <c r="E21" s="1172"/>
      <c r="F21" s="1172"/>
      <c r="G21" s="694" t="s">
        <v>31</v>
      </c>
      <c r="H21" s="77" t="s">
        <v>26</v>
      </c>
      <c r="I21" s="155">
        <f>$D$11*B21</f>
        <v>0</v>
      </c>
      <c r="J21" s="162">
        <f t="shared" si="0"/>
        <v>0</v>
      </c>
      <c r="K21" s="167">
        <f t="shared" si="1"/>
        <v>0</v>
      </c>
      <c r="L21" s="164"/>
      <c r="M21" s="1183"/>
      <c r="N21" s="1184"/>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172" t="s">
        <v>547</v>
      </c>
      <c r="D22" s="1172"/>
      <c r="E22" s="1172"/>
      <c r="F22" s="1172"/>
      <c r="G22" s="694" t="s">
        <v>32</v>
      </c>
      <c r="H22" s="77" t="s">
        <v>27</v>
      </c>
      <c r="I22" s="155">
        <f t="shared" ref="I22:I33" si="6">$D$11*B22</f>
        <v>0</v>
      </c>
      <c r="J22" s="162">
        <f t="shared" si="0"/>
        <v>0</v>
      </c>
      <c r="K22" s="167">
        <f t="shared" si="1"/>
        <v>0</v>
      </c>
      <c r="L22" s="164"/>
      <c r="M22" s="1183"/>
      <c r="N22" s="1184"/>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183" t="s">
        <v>216</v>
      </c>
      <c r="D23" s="1240"/>
      <c r="E23" s="1240"/>
      <c r="F23" s="1241"/>
      <c r="G23" s="694" t="s">
        <v>32</v>
      </c>
      <c r="H23" s="77" t="s">
        <v>55</v>
      </c>
      <c r="I23" s="155">
        <f t="shared" si="6"/>
        <v>0</v>
      </c>
      <c r="J23" s="162">
        <f t="shared" si="0"/>
        <v>0</v>
      </c>
      <c r="K23" s="167">
        <f t="shared" si="1"/>
        <v>0</v>
      </c>
      <c r="L23" s="164"/>
      <c r="M23" s="1183"/>
      <c r="N23" s="1184"/>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183" t="s">
        <v>466</v>
      </c>
      <c r="D24" s="1240"/>
      <c r="E24" s="1240"/>
      <c r="F24" s="1241"/>
      <c r="G24" s="694" t="s">
        <v>31</v>
      </c>
      <c r="H24" s="77" t="s">
        <v>72</v>
      </c>
      <c r="I24" s="155">
        <f t="shared" si="6"/>
        <v>0</v>
      </c>
      <c r="J24" s="162">
        <f t="shared" si="0"/>
        <v>0</v>
      </c>
      <c r="K24" s="167">
        <f t="shared" si="1"/>
        <v>0</v>
      </c>
      <c r="L24" s="164"/>
      <c r="M24" s="1183"/>
      <c r="N24" s="1184"/>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172" t="s">
        <v>217</v>
      </c>
      <c r="D25" s="1172"/>
      <c r="E25" s="1279" t="str">
        <f>IF(SUM(B25:B29)=O11,"GC 76000 PA ($" &amp;O11 &amp; " for every 10) breakdown per local board of supervisor resolution (BOS).","ERROR! GC 76000 PA total is not $" &amp;O11&amp; ". Check Court's board resolution.")</f>
        <v>ERROR! GC 76000 PA total is not $7. Check Court's board resolution.</v>
      </c>
      <c r="F25" s="1280"/>
      <c r="G25" s="694" t="s">
        <v>32</v>
      </c>
      <c r="H25" s="77" t="s">
        <v>64</v>
      </c>
      <c r="I25" s="155">
        <f t="shared" si="6"/>
        <v>0</v>
      </c>
      <c r="J25" s="162">
        <f t="shared" si="0"/>
        <v>0</v>
      </c>
      <c r="K25" s="167">
        <f t="shared" si="1"/>
        <v>0</v>
      </c>
      <c r="L25" s="164"/>
      <c r="M25" s="1183"/>
      <c r="N25" s="1184"/>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172" t="s">
        <v>218</v>
      </c>
      <c r="D26" s="1172"/>
      <c r="E26" s="1281"/>
      <c r="F26" s="1282"/>
      <c r="G26" s="694" t="s">
        <v>32</v>
      </c>
      <c r="H26" s="77" t="s">
        <v>35</v>
      </c>
      <c r="I26" s="155">
        <f t="shared" si="6"/>
        <v>0</v>
      </c>
      <c r="J26" s="162">
        <f t="shared" si="0"/>
        <v>0</v>
      </c>
      <c r="K26" s="167">
        <f t="shared" si="1"/>
        <v>0</v>
      </c>
      <c r="L26" s="164"/>
      <c r="M26" s="1183"/>
      <c r="N26" s="1184"/>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172" t="s">
        <v>219</v>
      </c>
      <c r="D27" s="1172"/>
      <c r="E27" s="1281"/>
      <c r="F27" s="1282"/>
      <c r="G27" s="694" t="s">
        <v>32</v>
      </c>
      <c r="H27" s="77" t="s">
        <v>65</v>
      </c>
      <c r="I27" s="155">
        <f t="shared" si="6"/>
        <v>0</v>
      </c>
      <c r="J27" s="162">
        <f t="shared" si="0"/>
        <v>0</v>
      </c>
      <c r="K27" s="167">
        <f t="shared" si="1"/>
        <v>0</v>
      </c>
      <c r="L27" s="164"/>
      <c r="M27" s="1183"/>
      <c r="N27" s="1184"/>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172" t="s">
        <v>401</v>
      </c>
      <c r="D28" s="1172"/>
      <c r="E28" s="1281"/>
      <c r="F28" s="1282"/>
      <c r="G28" s="694" t="s">
        <v>32</v>
      </c>
      <c r="H28" s="77" t="s">
        <v>65</v>
      </c>
      <c r="I28" s="155">
        <f>$D$11*B28</f>
        <v>0</v>
      </c>
      <c r="J28" s="162">
        <f>IF(A28="Y", I28*2%,0)</f>
        <v>0</v>
      </c>
      <c r="K28" s="167">
        <f t="shared" si="1"/>
        <v>0</v>
      </c>
      <c r="L28" s="164"/>
      <c r="M28" s="1183"/>
      <c r="N28" s="1184"/>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172" t="s">
        <v>254</v>
      </c>
      <c r="D29" s="1172"/>
      <c r="E29" s="1283"/>
      <c r="F29" s="1284"/>
      <c r="G29" s="694" t="s">
        <v>32</v>
      </c>
      <c r="H29" s="77"/>
      <c r="I29" s="155">
        <f t="shared" si="6"/>
        <v>0</v>
      </c>
      <c r="J29" s="162">
        <f t="shared" si="0"/>
        <v>0</v>
      </c>
      <c r="K29" s="167">
        <f t="shared" si="1"/>
        <v>0</v>
      </c>
      <c r="L29" s="164"/>
      <c r="M29" s="1183"/>
      <c r="N29" s="1184"/>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154" t="s">
        <v>286</v>
      </c>
      <c r="D30" s="1155"/>
      <c r="E30" s="1155"/>
      <c r="F30" s="1232"/>
      <c r="G30" s="702" t="s">
        <v>32</v>
      </c>
      <c r="H30" s="84" t="s">
        <v>36</v>
      </c>
      <c r="I30" s="155">
        <f t="shared" si="6"/>
        <v>0</v>
      </c>
      <c r="J30" s="162">
        <f t="shared" si="0"/>
        <v>0</v>
      </c>
      <c r="K30" s="167">
        <f t="shared" si="1"/>
        <v>0</v>
      </c>
      <c r="L30" s="164"/>
      <c r="M30" s="1183"/>
      <c r="N30" s="1184"/>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154" t="s">
        <v>385</v>
      </c>
      <c r="D31" s="1155"/>
      <c r="E31" s="1155"/>
      <c r="F31" s="1232"/>
      <c r="G31" s="702" t="s">
        <v>31</v>
      </c>
      <c r="H31" s="91" t="s">
        <v>39</v>
      </c>
      <c r="I31" s="204">
        <v>4</v>
      </c>
      <c r="J31" s="162">
        <f>IF(A31="Y", I31*2%,0)</f>
        <v>0.08</v>
      </c>
      <c r="K31" s="167">
        <f t="shared" si="1"/>
        <v>3.92</v>
      </c>
      <c r="L31" s="164"/>
      <c r="M31" s="1183"/>
      <c r="N31" s="1184"/>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154" t="s">
        <v>555</v>
      </c>
      <c r="D32" s="1155"/>
      <c r="E32" s="1232"/>
      <c r="F32" s="1088" t="s">
        <v>281</v>
      </c>
      <c r="G32" s="702" t="s">
        <v>31</v>
      </c>
      <c r="H32" s="84" t="s">
        <v>37</v>
      </c>
      <c r="I32" s="155">
        <f t="shared" si="6"/>
        <v>0</v>
      </c>
      <c r="J32" s="162">
        <f t="shared" si="0"/>
        <v>0</v>
      </c>
      <c r="K32" s="167">
        <f t="shared" si="1"/>
        <v>0</v>
      </c>
      <c r="L32" s="164"/>
      <c r="M32" s="1183"/>
      <c r="N32" s="1184"/>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154" t="s">
        <v>556</v>
      </c>
      <c r="D33" s="1155"/>
      <c r="E33" s="1232"/>
      <c r="F33" s="1089"/>
      <c r="G33" s="702" t="s">
        <v>31</v>
      </c>
      <c r="H33" s="84" t="s">
        <v>197</v>
      </c>
      <c r="I33" s="155">
        <f t="shared" si="6"/>
        <v>0</v>
      </c>
      <c r="J33" s="162">
        <f t="shared" si="0"/>
        <v>0</v>
      </c>
      <c r="K33" s="167">
        <f t="shared" si="1"/>
        <v>0</v>
      </c>
      <c r="L33" s="164"/>
      <c r="M33" s="1183"/>
      <c r="N33" s="1184"/>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154" t="s">
        <v>220</v>
      </c>
      <c r="D34" s="1155"/>
      <c r="E34" s="1155"/>
      <c r="F34" s="1232"/>
      <c r="G34" s="702" t="s">
        <v>31</v>
      </c>
      <c r="H34" s="84" t="s">
        <v>10</v>
      </c>
      <c r="I34" s="155">
        <f>$D$10*20%</f>
        <v>0</v>
      </c>
      <c r="J34" s="162">
        <f t="shared" si="0"/>
        <v>0</v>
      </c>
      <c r="K34" s="167">
        <f t="shared" si="1"/>
        <v>0</v>
      </c>
      <c r="L34" s="164"/>
      <c r="M34" s="1183"/>
      <c r="N34" s="1184"/>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229" t="s">
        <v>221</v>
      </c>
      <c r="D35" s="1230"/>
      <c r="E35" s="1230"/>
      <c r="F35" s="1231"/>
      <c r="G35" s="703"/>
      <c r="H35" s="88"/>
      <c r="I35" s="157">
        <f>SUM(I16:I34)</f>
        <v>4</v>
      </c>
      <c r="J35" s="162"/>
      <c r="K35" s="168">
        <f>SUM(K16:K34)</f>
        <v>3.92</v>
      </c>
      <c r="L35" s="165"/>
      <c r="M35" s="1154"/>
      <c r="N35" s="1239"/>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154" t="s">
        <v>419</v>
      </c>
      <c r="D36" s="1155"/>
      <c r="E36" s="1155"/>
      <c r="F36" s="1232"/>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233" t="s">
        <v>259</v>
      </c>
      <c r="D37" s="1234"/>
      <c r="E37" s="1234"/>
      <c r="F37" s="1235"/>
      <c r="G37" s="704" t="s">
        <v>31</v>
      </c>
      <c r="H37" s="92" t="s">
        <v>197</v>
      </c>
      <c r="I37" s="204">
        <v>35</v>
      </c>
      <c r="J37" s="162">
        <f t="shared" ref="J37:J40" si="7">IF(A37="Y", I37*2%,0)</f>
        <v>0</v>
      </c>
      <c r="K37" s="167">
        <f>I37-J37</f>
        <v>35</v>
      </c>
      <c r="L37" s="164"/>
      <c r="M37" s="1183"/>
      <c r="N37" s="1184"/>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233" t="s">
        <v>421</v>
      </c>
      <c r="D38" s="1234"/>
      <c r="E38" s="1234"/>
      <c r="F38" s="1235"/>
      <c r="G38" s="704" t="s">
        <v>230</v>
      </c>
      <c r="H38" s="92" t="s">
        <v>24</v>
      </c>
      <c r="I38" s="204"/>
      <c r="J38" s="162">
        <f t="shared" si="7"/>
        <v>0</v>
      </c>
      <c r="K38" s="167">
        <f>I38-J38</f>
        <v>0</v>
      </c>
      <c r="L38" s="164"/>
      <c r="M38" s="1183"/>
      <c r="N38" s="1184"/>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154" t="s">
        <v>517</v>
      </c>
      <c r="D39" s="1155"/>
      <c r="E39" s="1155"/>
      <c r="F39" s="1232"/>
      <c r="G39" s="704" t="s">
        <v>230</v>
      </c>
      <c r="H39" s="92" t="s">
        <v>82</v>
      </c>
      <c r="I39" s="204"/>
      <c r="J39" s="162">
        <f t="shared" si="7"/>
        <v>0</v>
      </c>
      <c r="K39" s="167">
        <f>I39-J39</f>
        <v>0</v>
      </c>
      <c r="L39" s="164"/>
      <c r="M39" s="1183"/>
      <c r="N39" s="1184"/>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233" t="s">
        <v>225</v>
      </c>
      <c r="D40" s="1234"/>
      <c r="E40" s="1234"/>
      <c r="F40" s="1235"/>
      <c r="G40" s="704" t="s">
        <v>31</v>
      </c>
      <c r="H40" s="92" t="s">
        <v>80</v>
      </c>
      <c r="I40" s="205"/>
      <c r="J40" s="162">
        <f t="shared" si="7"/>
        <v>0</v>
      </c>
      <c r="K40" s="167">
        <f>I40-J40</f>
        <v>0</v>
      </c>
      <c r="L40" s="164"/>
      <c r="M40" s="1183"/>
      <c r="N40" s="1184"/>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183" t="s">
        <v>492</v>
      </c>
      <c r="D41" s="1240"/>
      <c r="E41" s="1240"/>
      <c r="F41" s="1241"/>
      <c r="G41" s="705" t="s">
        <v>31</v>
      </c>
      <c r="H41" s="96" t="s">
        <v>41</v>
      </c>
      <c r="I41" s="97"/>
      <c r="J41" s="163"/>
      <c r="K41" s="169">
        <f>J42</f>
        <v>8.0000000000000113E-2</v>
      </c>
      <c r="L41" s="164"/>
      <c r="M41" s="1183"/>
      <c r="N41" s="1184"/>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276" t="s">
        <v>61</v>
      </c>
      <c r="B44" s="1276"/>
      <c r="C44" s="1276"/>
      <c r="D44" s="210"/>
      <c r="E44" s="133"/>
      <c r="F44" s="133"/>
      <c r="K44" s="135"/>
      <c r="L44" s="136"/>
      <c r="P44" s="137"/>
      <c r="Q44" s="137"/>
      <c r="R44" s="137"/>
      <c r="S44" s="137"/>
      <c r="T44" s="137"/>
      <c r="U44" s="138"/>
      <c r="V44" s="138"/>
      <c r="W44" s="139"/>
    </row>
    <row r="45" spans="1:28" s="141" customFormat="1" ht="18" customHeight="1" x14ac:dyDescent="0.2">
      <c r="A45" s="769">
        <v>1</v>
      </c>
      <c r="B45" s="1145"/>
      <c r="C45" s="1145"/>
      <c r="D45" s="1145"/>
      <c r="E45" s="1145"/>
      <c r="F45" s="1145"/>
      <c r="G45" s="1145"/>
      <c r="H45" s="1145"/>
      <c r="I45" s="1145"/>
      <c r="J45" s="1145"/>
      <c r="K45" s="1145"/>
      <c r="L45" s="1145"/>
      <c r="M45" s="1145"/>
      <c r="N45" s="1145"/>
      <c r="O45" s="1145"/>
      <c r="P45" s="1145"/>
      <c r="Q45" s="1145"/>
      <c r="R45" s="1145"/>
      <c r="S45" s="1145"/>
      <c r="T45" s="1145"/>
      <c r="U45" s="1145"/>
      <c r="V45" s="1145"/>
      <c r="W45" s="1145"/>
    </row>
    <row r="46" spans="1:28" s="141" customFormat="1" ht="18" customHeight="1" x14ac:dyDescent="0.2">
      <c r="A46" s="769">
        <v>2</v>
      </c>
      <c r="B46" s="1145"/>
      <c r="C46" s="1145"/>
      <c r="D46" s="1145"/>
      <c r="E46" s="1145"/>
      <c r="F46" s="1145"/>
      <c r="G46" s="1145"/>
      <c r="H46" s="1145"/>
      <c r="I46" s="1145"/>
      <c r="J46" s="1145"/>
      <c r="K46" s="1145"/>
      <c r="L46" s="1145"/>
      <c r="M46" s="1145"/>
      <c r="N46" s="1145"/>
      <c r="O46" s="1145"/>
      <c r="P46" s="1145"/>
      <c r="Q46" s="1145"/>
      <c r="R46" s="1145"/>
      <c r="S46" s="1145"/>
      <c r="T46" s="1145"/>
      <c r="U46" s="1145"/>
      <c r="V46" s="1145"/>
      <c r="W46" s="1145"/>
    </row>
    <row r="47" spans="1:28" s="141" customFormat="1" ht="18" customHeight="1" x14ac:dyDescent="0.2">
      <c r="A47" s="769">
        <v>3</v>
      </c>
      <c r="B47" s="1145"/>
      <c r="C47" s="1145"/>
      <c r="D47" s="1145"/>
      <c r="E47" s="1145"/>
      <c r="F47" s="1145"/>
      <c r="G47" s="1145"/>
      <c r="H47" s="1145"/>
      <c r="I47" s="1145"/>
      <c r="J47" s="1145"/>
      <c r="K47" s="1145"/>
      <c r="L47" s="1145"/>
      <c r="M47" s="1145"/>
      <c r="N47" s="1145"/>
      <c r="O47" s="1145"/>
      <c r="P47" s="1145"/>
      <c r="Q47" s="1145"/>
      <c r="R47" s="1145"/>
      <c r="S47" s="1145"/>
      <c r="T47" s="1145"/>
      <c r="U47" s="1145"/>
      <c r="V47" s="1145"/>
      <c r="W47" s="1145"/>
    </row>
    <row r="48" spans="1:28" s="54" customFormat="1" ht="20.25" customHeight="1" x14ac:dyDescent="0.2">
      <c r="A48" s="769">
        <v>4</v>
      </c>
      <c r="B48" s="1145"/>
      <c r="C48" s="1145"/>
      <c r="D48" s="1145"/>
      <c r="E48" s="1145"/>
      <c r="F48" s="1145"/>
      <c r="G48" s="1145"/>
      <c r="H48" s="1145"/>
      <c r="I48" s="1145"/>
      <c r="J48" s="1145"/>
      <c r="K48" s="1145"/>
      <c r="L48" s="1145"/>
      <c r="M48" s="1145"/>
      <c r="N48" s="1145"/>
      <c r="O48" s="1145"/>
      <c r="P48" s="1145"/>
      <c r="Q48" s="1145"/>
      <c r="R48" s="1145"/>
      <c r="S48" s="1145"/>
      <c r="T48" s="1145"/>
      <c r="U48" s="1145"/>
      <c r="V48" s="1145"/>
      <c r="W48" s="1145"/>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1673" t="s">
        <v>109</v>
      </c>
      <c r="B1" s="1674"/>
      <c r="C1" s="1674"/>
      <c r="D1" s="1674"/>
      <c r="E1" s="1674"/>
      <c r="F1" s="1674"/>
      <c r="G1" s="1674"/>
      <c r="H1" s="1674"/>
      <c r="I1" s="1674"/>
      <c r="J1" s="1674"/>
      <c r="K1" s="1674"/>
      <c r="L1" s="1678"/>
      <c r="M1" s="1678"/>
      <c r="N1" s="1678"/>
      <c r="O1" s="1678"/>
      <c r="P1" s="1678"/>
      <c r="Q1" s="1678"/>
      <c r="R1" s="1678"/>
      <c r="S1" s="1678"/>
      <c r="T1" s="1678"/>
      <c r="U1" s="1678"/>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1675" t="s">
        <v>234</v>
      </c>
      <c r="B3" s="1676"/>
      <c r="C3" s="1676"/>
      <c r="D3" s="1676"/>
      <c r="E3" s="1676"/>
      <c r="F3" s="1676"/>
      <c r="G3" s="1676"/>
      <c r="H3" s="1676"/>
      <c r="I3" s="1676"/>
      <c r="J3" s="1676"/>
      <c r="K3" s="1676"/>
      <c r="L3" s="1676"/>
      <c r="M3" s="1676"/>
      <c r="N3" s="1676"/>
      <c r="O3" s="1677"/>
      <c r="P3" s="355"/>
      <c r="Q3" s="1679" t="s">
        <v>261</v>
      </c>
      <c r="R3" s="1680"/>
      <c r="S3" s="1680"/>
      <c r="T3" s="1680"/>
      <c r="U3" s="1680"/>
      <c r="V3" s="1680"/>
      <c r="W3" s="1681"/>
      <c r="Y3" s="356" t="s">
        <v>250</v>
      </c>
      <c r="Z3" s="357"/>
    </row>
    <row r="4" spans="1:28" s="361" customFormat="1" ht="16.5" thickBot="1" x14ac:dyDescent="0.25">
      <c r="A4" s="1682" t="s">
        <v>231</v>
      </c>
      <c r="B4" s="1683"/>
      <c r="C4" s="1683"/>
      <c r="D4" s="1684">
        <f>L1</f>
        <v>0</v>
      </c>
      <c r="E4" s="1685"/>
      <c r="F4" s="1668" t="s">
        <v>28</v>
      </c>
      <c r="G4" s="1669"/>
      <c r="H4" s="358"/>
      <c r="I4" s="1670" t="s">
        <v>350</v>
      </c>
      <c r="J4" s="1670"/>
      <c r="K4" s="1670"/>
      <c r="L4" s="1671"/>
      <c r="M4" s="1686" t="s">
        <v>257</v>
      </c>
      <c r="N4" s="1686"/>
      <c r="O4" s="359" t="s">
        <v>342</v>
      </c>
      <c r="P4" s="360"/>
      <c r="Q4" s="1687" t="s">
        <v>236</v>
      </c>
      <c r="R4" s="1688"/>
      <c r="S4" s="1688"/>
      <c r="T4" s="1688"/>
      <c r="U4" s="1688"/>
      <c r="V4" s="1688"/>
      <c r="W4" s="1689"/>
      <c r="Y4" s="362" t="s">
        <v>308</v>
      </c>
      <c r="Z4" s="363" t="s">
        <v>309</v>
      </c>
      <c r="AA4" s="363" t="s">
        <v>310</v>
      </c>
    </row>
    <row r="5" spans="1:28" s="361" customFormat="1" ht="15.75" customHeight="1" x14ac:dyDescent="0.2">
      <c r="A5" s="1664" t="s">
        <v>4</v>
      </c>
      <c r="B5" s="1665"/>
      <c r="C5" s="1665"/>
      <c r="D5" s="1666"/>
      <c r="E5" s="1667"/>
      <c r="F5" s="1644" t="s">
        <v>244</v>
      </c>
      <c r="G5" s="1645"/>
      <c r="H5" s="364"/>
      <c r="I5" s="1646" t="s">
        <v>351</v>
      </c>
      <c r="J5" s="1646"/>
      <c r="K5" s="1646"/>
      <c r="L5" s="1647"/>
      <c r="M5" s="1629" t="s">
        <v>22</v>
      </c>
      <c r="N5" s="1629"/>
      <c r="O5" s="365" t="s">
        <v>342</v>
      </c>
      <c r="P5" s="360"/>
      <c r="Q5" s="1630" t="s">
        <v>352</v>
      </c>
      <c r="R5" s="1631"/>
      <c r="S5" s="1631"/>
      <c r="T5" s="1631"/>
      <c r="U5" s="1631"/>
      <c r="V5" s="1631"/>
      <c r="W5" s="1632"/>
      <c r="Y5" s="366" t="s">
        <v>31</v>
      </c>
      <c r="Z5" s="367">
        <f>SUMIF($G$16:$G$27,"STATE",$K$16:$K$27)</f>
        <v>386.66666666666663</v>
      </c>
      <c r="AA5" s="367">
        <f>SUMIF($G$16:$G$27,"STATE",$S$16:$S$27)</f>
        <v>0</v>
      </c>
    </row>
    <row r="6" spans="1:28" s="361" customFormat="1" ht="16.5" thickBot="1" x14ac:dyDescent="0.25">
      <c r="A6" s="1664" t="s">
        <v>12</v>
      </c>
      <c r="B6" s="1665"/>
      <c r="C6" s="1665"/>
      <c r="D6" s="1666"/>
      <c r="E6" s="1667"/>
      <c r="F6" s="1644" t="s">
        <v>20</v>
      </c>
      <c r="G6" s="1645"/>
      <c r="H6" s="364"/>
      <c r="I6" s="1646" t="s">
        <v>11</v>
      </c>
      <c r="J6" s="1646"/>
      <c r="K6" s="1646"/>
      <c r="L6" s="1647"/>
      <c r="M6" s="1621" t="s">
        <v>233</v>
      </c>
      <c r="N6" s="1621"/>
      <c r="O6" s="368"/>
      <c r="P6" s="360"/>
      <c r="Q6" s="1633"/>
      <c r="R6" s="1634"/>
      <c r="S6" s="1634"/>
      <c r="T6" s="1634"/>
      <c r="U6" s="1634"/>
      <c r="V6" s="1634"/>
      <c r="W6" s="1635"/>
      <c r="Y6" s="366" t="s">
        <v>32</v>
      </c>
      <c r="Z6" s="367">
        <f>SUMIF($G$16:$G$27,"COUNTY",$K$16:$K$27)</f>
        <v>333.33333333333331</v>
      </c>
      <c r="AA6" s="367">
        <f>SUMIF($G$16:$G$27,"COUNTY",$S$16:$S$27)</f>
        <v>0</v>
      </c>
    </row>
    <row r="7" spans="1:28" s="361" customFormat="1" ht="16.5" customHeight="1" thickBot="1" x14ac:dyDescent="0.25">
      <c r="A7" s="1664" t="s">
        <v>5</v>
      </c>
      <c r="B7" s="1665"/>
      <c r="C7" s="1665"/>
      <c r="D7" s="1672"/>
      <c r="E7" s="1667"/>
      <c r="F7" s="1640" t="s">
        <v>21</v>
      </c>
      <c r="G7" s="1641"/>
      <c r="H7" s="369"/>
      <c r="I7" s="1642" t="s">
        <v>379</v>
      </c>
      <c r="J7" s="1642"/>
      <c r="K7" s="1642"/>
      <c r="L7" s="1643"/>
      <c r="M7" s="370"/>
      <c r="N7" s="371"/>
      <c r="O7" s="372"/>
      <c r="P7" s="360"/>
      <c r="Q7" s="1622" t="s">
        <v>432</v>
      </c>
      <c r="R7" s="1623"/>
      <c r="S7" s="1623"/>
      <c r="T7" s="1623"/>
      <c r="U7" s="1623"/>
      <c r="V7" s="1623"/>
      <c r="W7" s="1624"/>
      <c r="Y7" s="366" t="s">
        <v>52</v>
      </c>
      <c r="Z7" s="367">
        <f>SUMIF($G$16:$G$27,"CITY",$K$16:$K$27)</f>
        <v>0</v>
      </c>
      <c r="AA7" s="367">
        <f>SUMIF($G$16:$G$27,"CITY",$S$16:$S$27)</f>
        <v>0</v>
      </c>
    </row>
    <row r="8" spans="1:28" s="361" customFormat="1" ht="15.75" customHeight="1" thickBot="1" x14ac:dyDescent="0.25">
      <c r="A8" s="1656" t="s">
        <v>54</v>
      </c>
      <c r="B8" s="1657"/>
      <c r="C8" s="1657"/>
      <c r="D8" s="1705" t="s">
        <v>342</v>
      </c>
      <c r="E8" s="1706"/>
      <c r="F8" s="1668" t="s">
        <v>253</v>
      </c>
      <c r="G8" s="1669"/>
      <c r="H8" s="358"/>
      <c r="I8" s="1670"/>
      <c r="J8" s="1670"/>
      <c r="K8" s="1670"/>
      <c r="L8" s="1671"/>
      <c r="M8" s="1628" t="s">
        <v>257</v>
      </c>
      <c r="N8" s="1628"/>
      <c r="O8" s="373" t="s">
        <v>342</v>
      </c>
      <c r="P8" s="374"/>
      <c r="Q8" s="1625"/>
      <c r="R8" s="1626"/>
      <c r="S8" s="1626"/>
      <c r="T8" s="1626"/>
      <c r="U8" s="1626"/>
      <c r="V8" s="1626"/>
      <c r="W8" s="1627"/>
      <c r="Y8" s="366" t="s">
        <v>230</v>
      </c>
      <c r="Z8" s="367">
        <f>SUMIF($G$16:$G$27,"COURT",$K$16:$K$27)</f>
        <v>0</v>
      </c>
      <c r="AA8" s="367">
        <f>SUMIF($G$16:$G$27,"COURT",$S$16:$S$27)</f>
        <v>0</v>
      </c>
    </row>
    <row r="9" spans="1:28" s="361" customFormat="1" ht="18" customHeight="1" thickTop="1" x14ac:dyDescent="0.2">
      <c r="A9" s="1650" t="s">
        <v>53</v>
      </c>
      <c r="B9" s="1651"/>
      <c r="C9" s="1651"/>
      <c r="D9" s="1648" t="s">
        <v>342</v>
      </c>
      <c r="E9" s="1649"/>
      <c r="F9" s="1644" t="s">
        <v>244</v>
      </c>
      <c r="G9" s="1645"/>
      <c r="H9" s="364"/>
      <c r="I9" s="1646"/>
      <c r="J9" s="1646"/>
      <c r="K9" s="1646"/>
      <c r="L9" s="1647"/>
      <c r="M9" s="1629" t="s">
        <v>22</v>
      </c>
      <c r="N9" s="1629"/>
      <c r="O9" s="365" t="s">
        <v>342</v>
      </c>
      <c r="P9" s="491"/>
      <c r="Q9" s="1707"/>
      <c r="R9" s="1707"/>
      <c r="S9" s="1707"/>
      <c r="T9" s="1707"/>
      <c r="U9" s="1707"/>
      <c r="V9" s="1707"/>
      <c r="W9" s="1707"/>
      <c r="Y9" s="700" t="s">
        <v>455</v>
      </c>
      <c r="Z9" s="176">
        <f>SUMIF($G$16:$G$27,"CNTY or CRT",$K$16:$K$27)</f>
        <v>0</v>
      </c>
      <c r="AA9" s="176">
        <f>SUMIF($G$16:$G$27,"CNTY or CRT",$S$16:$S$27)</f>
        <v>0</v>
      </c>
    </row>
    <row r="10" spans="1:28" s="361" customFormat="1" ht="16.5" customHeight="1" thickBot="1" x14ac:dyDescent="0.25">
      <c r="A10" s="1697" t="s">
        <v>471</v>
      </c>
      <c r="B10" s="1698"/>
      <c r="C10" s="1698"/>
      <c r="D10" s="1701">
        <v>500</v>
      </c>
      <c r="E10" s="1702"/>
      <c r="F10" s="1695" t="s">
        <v>20</v>
      </c>
      <c r="G10" s="1696"/>
      <c r="H10" s="364"/>
      <c r="I10" s="1646"/>
      <c r="J10" s="1646"/>
      <c r="K10" s="1646"/>
      <c r="L10" s="1647"/>
      <c r="M10" s="1621" t="s">
        <v>233</v>
      </c>
      <c r="N10" s="1621"/>
      <c r="O10" s="368"/>
      <c r="P10" s="381"/>
      <c r="Q10" s="1707"/>
      <c r="R10" s="1707"/>
      <c r="S10" s="1707"/>
      <c r="T10" s="1707"/>
      <c r="U10" s="1707"/>
      <c r="V10" s="1707"/>
      <c r="W10" s="1707"/>
      <c r="Y10" s="376" t="s">
        <v>246</v>
      </c>
      <c r="Z10" s="377">
        <f>SUM(Z5:Z9)</f>
        <v>720</v>
      </c>
      <c r="AA10" s="377">
        <f>SUM(AA5:AA9)</f>
        <v>0</v>
      </c>
    </row>
    <row r="11" spans="1:28" s="361" customFormat="1" ht="16.5" customHeight="1" thickBot="1" x14ac:dyDescent="0.25">
      <c r="A11" s="1699"/>
      <c r="B11" s="1700"/>
      <c r="C11" s="1700"/>
      <c r="D11" s="1703"/>
      <c r="E11" s="1704"/>
      <c r="F11" s="1640" t="s">
        <v>21</v>
      </c>
      <c r="G11" s="1641"/>
      <c r="H11" s="369"/>
      <c r="I11" s="1642"/>
      <c r="J11" s="1642"/>
      <c r="K11" s="1642"/>
      <c r="L11" s="1643"/>
      <c r="M11" s="378"/>
      <c r="N11" s="379"/>
      <c r="O11" s="380"/>
      <c r="P11" s="381"/>
      <c r="Q11" s="1636"/>
      <c r="R11" s="1636"/>
      <c r="S11" s="1636"/>
      <c r="T11" s="1636"/>
      <c r="U11" s="1636"/>
      <c r="V11" s="1636"/>
      <c r="W11" s="1636"/>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587" t="s">
        <v>347</v>
      </c>
      <c r="J13" s="1588"/>
      <c r="K13" s="1589"/>
      <c r="L13" s="398"/>
      <c r="M13" s="1615" t="s">
        <v>229</v>
      </c>
      <c r="N13" s="1616"/>
      <c r="O13" s="1617"/>
      <c r="P13" s="399"/>
      <c r="Q13" s="1618" t="s">
        <v>295</v>
      </c>
      <c r="R13" s="1619"/>
      <c r="S13" s="1620"/>
      <c r="T13" s="400"/>
      <c r="U13" s="401"/>
      <c r="V13" s="401"/>
      <c r="W13" s="402"/>
      <c r="X13" s="396"/>
      <c r="Y13" s="396"/>
      <c r="Z13" s="396"/>
      <c r="AA13" s="396"/>
      <c r="AB13" s="396"/>
    </row>
    <row r="14" spans="1:28" ht="44.25" customHeight="1" thickBot="1" x14ac:dyDescent="0.25">
      <c r="A14" s="403">
        <v>0.02</v>
      </c>
      <c r="B14" s="717" t="s">
        <v>58</v>
      </c>
      <c r="C14" s="1604" t="s">
        <v>226</v>
      </c>
      <c r="D14" s="1604"/>
      <c r="E14" s="1604"/>
      <c r="F14" s="1605"/>
      <c r="G14" s="404" t="s">
        <v>249</v>
      </c>
      <c r="H14" s="405" t="s">
        <v>0</v>
      </c>
      <c r="I14" s="1609" t="s">
        <v>315</v>
      </c>
      <c r="J14" s="1601" t="s">
        <v>6</v>
      </c>
      <c r="K14" s="406" t="s">
        <v>299</v>
      </c>
      <c r="L14" s="407"/>
      <c r="M14" s="1611" t="s">
        <v>260</v>
      </c>
      <c r="N14" s="1612"/>
      <c r="O14" s="408" t="s">
        <v>248</v>
      </c>
      <c r="P14" s="409"/>
      <c r="Q14" s="410" t="s">
        <v>296</v>
      </c>
      <c r="R14" s="1601" t="s">
        <v>6</v>
      </c>
      <c r="S14" s="406" t="s">
        <v>299</v>
      </c>
      <c r="T14" s="411"/>
      <c r="U14" s="412" t="s">
        <v>256</v>
      </c>
      <c r="V14" s="1289" t="s">
        <v>61</v>
      </c>
      <c r="W14" s="1291" t="s">
        <v>384</v>
      </c>
    </row>
    <row r="15" spans="1:28" ht="30.75" customHeight="1" thickBot="1" x14ac:dyDescent="0.25">
      <c r="A15" s="414"/>
      <c r="B15" s="718"/>
      <c r="C15" s="1607"/>
      <c r="D15" s="1607"/>
      <c r="E15" s="1607"/>
      <c r="F15" s="1608"/>
      <c r="G15" s="415"/>
      <c r="H15" s="415"/>
      <c r="I15" s="1610"/>
      <c r="J15" s="1602"/>
      <c r="K15" s="416" t="s">
        <v>42</v>
      </c>
      <c r="L15" s="417"/>
      <c r="M15" s="1613"/>
      <c r="N15" s="1614"/>
      <c r="O15" s="418" t="s">
        <v>43</v>
      </c>
      <c r="P15" s="409"/>
      <c r="Q15" s="419" t="e">
        <f>#REF!/#REF!</f>
        <v>#REF!</v>
      </c>
      <c r="R15" s="1602"/>
      <c r="S15" s="416" t="s">
        <v>44</v>
      </c>
      <c r="T15" s="411"/>
      <c r="U15" s="420" t="s">
        <v>300</v>
      </c>
      <c r="V15" s="1290"/>
      <c r="W15" s="1292"/>
    </row>
    <row r="16" spans="1:28" s="437" customFormat="1" ht="15.75" hidden="1" customHeight="1" thickTop="1" x14ac:dyDescent="0.2">
      <c r="A16" s="421" t="s">
        <v>7</v>
      </c>
      <c r="B16" s="422"/>
      <c r="C16" s="719"/>
      <c r="D16" s="720"/>
      <c r="E16" s="720"/>
      <c r="F16" s="721"/>
      <c r="G16" s="423"/>
      <c r="H16" s="424"/>
      <c r="I16" s="425"/>
      <c r="J16" s="426"/>
      <c r="K16" s="427"/>
      <c r="L16" s="428"/>
      <c r="M16" s="1599"/>
      <c r="N16" s="1600"/>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594"/>
      <c r="N17" s="1595"/>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591" t="s">
        <v>342</v>
      </c>
      <c r="C18" s="1596" t="s">
        <v>472</v>
      </c>
      <c r="D18" s="1596"/>
      <c r="E18" s="1596"/>
      <c r="F18" s="1596"/>
      <c r="G18" s="700" t="s">
        <v>32</v>
      </c>
      <c r="H18" s="440" t="s">
        <v>25</v>
      </c>
      <c r="I18" s="441">
        <f>$D$10*2/3</f>
        <v>333.33333333333331</v>
      </c>
      <c r="J18" s="426">
        <f>IF(A18="Y",I18* 2%,0)</f>
        <v>0</v>
      </c>
      <c r="K18" s="442">
        <f>I18-J18</f>
        <v>333.33333333333331</v>
      </c>
      <c r="L18" s="428"/>
      <c r="M18" s="1594"/>
      <c r="N18" s="1595"/>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591"/>
      <c r="C19" s="1596" t="s">
        <v>473</v>
      </c>
      <c r="D19" s="1596"/>
      <c r="E19" s="1596"/>
      <c r="F19" s="1596"/>
      <c r="G19" s="700" t="s">
        <v>31</v>
      </c>
      <c r="H19" s="440" t="s">
        <v>26</v>
      </c>
      <c r="I19" s="441">
        <f>$D$10*1/6</f>
        <v>83.333333333333329</v>
      </c>
      <c r="J19" s="426">
        <f>IF(A19="Y",I19* 2%,0)</f>
        <v>0</v>
      </c>
      <c r="K19" s="442">
        <f>I19-J19</f>
        <v>83.333333333333329</v>
      </c>
      <c r="L19" s="428"/>
      <c r="M19" s="1594"/>
      <c r="N19" s="1595"/>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591"/>
      <c r="C20" s="1596" t="s">
        <v>474</v>
      </c>
      <c r="D20" s="1596"/>
      <c r="E20" s="1596"/>
      <c r="F20" s="1596"/>
      <c r="G20" s="700" t="s">
        <v>31</v>
      </c>
      <c r="H20" s="440"/>
      <c r="I20" s="441">
        <f>$D$10*1/6</f>
        <v>83.333333333333329</v>
      </c>
      <c r="J20" s="426">
        <f t="shared" ref="J20:J27" si="0">IF(A20="Y",I20* 2%,0)</f>
        <v>0</v>
      </c>
      <c r="K20" s="442">
        <f t="shared" ref="K20:K25" si="1">I20-J20</f>
        <v>83.333333333333329</v>
      </c>
      <c r="L20" s="428"/>
      <c r="M20" s="1594"/>
      <c r="N20" s="1595"/>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591"/>
      <c r="C21" s="1428" t="s">
        <v>419</v>
      </c>
      <c r="D21" s="1428"/>
      <c r="E21" s="1428"/>
      <c r="F21" s="1428"/>
      <c r="G21" s="700" t="s">
        <v>31</v>
      </c>
      <c r="H21" s="440"/>
      <c r="I21" s="441">
        <v>40</v>
      </c>
      <c r="J21" s="426">
        <f t="shared" si="0"/>
        <v>0</v>
      </c>
      <c r="K21" s="442">
        <f t="shared" si="1"/>
        <v>40</v>
      </c>
      <c r="L21" s="428"/>
      <c r="M21" s="1594"/>
      <c r="N21" s="1595"/>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591"/>
      <c r="C22" s="1694" t="s">
        <v>259</v>
      </c>
      <c r="D22" s="1694"/>
      <c r="E22" s="1694"/>
      <c r="F22" s="1694"/>
      <c r="G22" s="700" t="s">
        <v>31</v>
      </c>
      <c r="H22" s="440"/>
      <c r="I22" s="441">
        <v>30</v>
      </c>
      <c r="J22" s="426">
        <f t="shared" si="0"/>
        <v>0</v>
      </c>
      <c r="K22" s="442">
        <f t="shared" si="1"/>
        <v>30</v>
      </c>
      <c r="L22" s="428"/>
      <c r="M22" s="1594"/>
      <c r="N22" s="1595"/>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591"/>
      <c r="C23" s="1694" t="s">
        <v>560</v>
      </c>
      <c r="D23" s="1694"/>
      <c r="E23" s="1694"/>
      <c r="F23" s="1694"/>
      <c r="G23" s="700" t="s">
        <v>31</v>
      </c>
      <c r="H23" s="440"/>
      <c r="I23" s="441">
        <v>150</v>
      </c>
      <c r="J23" s="426">
        <f t="shared" si="0"/>
        <v>3</v>
      </c>
      <c r="K23" s="442">
        <f t="shared" si="1"/>
        <v>147</v>
      </c>
      <c r="L23" s="428"/>
      <c r="M23" s="1594"/>
      <c r="N23" s="1595"/>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591"/>
      <c r="C24" s="1694" t="s">
        <v>454</v>
      </c>
      <c r="D24" s="1694"/>
      <c r="E24" s="1694"/>
      <c r="F24" s="1694"/>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591"/>
      <c r="C25" s="1694" t="s">
        <v>476</v>
      </c>
      <c r="D25" s="1694"/>
      <c r="E25" s="1694"/>
      <c r="F25" s="1694"/>
      <c r="G25" s="700" t="s">
        <v>455</v>
      </c>
      <c r="H25" s="440"/>
      <c r="I25" s="441"/>
      <c r="J25" s="426">
        <f t="shared" si="0"/>
        <v>0</v>
      </c>
      <c r="K25" s="442">
        <f t="shared" si="1"/>
        <v>0</v>
      </c>
      <c r="L25" s="428"/>
      <c r="M25" s="1594"/>
      <c r="N25" s="1595"/>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591"/>
      <c r="C26" s="1154" t="s">
        <v>520</v>
      </c>
      <c r="D26" s="1155"/>
      <c r="E26" s="1155"/>
      <c r="F26" s="1232"/>
      <c r="G26" s="700" t="s">
        <v>230</v>
      </c>
      <c r="H26" s="440"/>
      <c r="I26" s="441"/>
      <c r="J26" s="426">
        <f t="shared" ref="J26" si="3">IF(A26="Y",I26* 2%,0)</f>
        <v>0</v>
      </c>
      <c r="K26" s="442">
        <f t="shared" ref="K26" si="4">I26-J26</f>
        <v>0</v>
      </c>
      <c r="L26" s="428"/>
      <c r="M26" s="1594"/>
      <c r="N26" s="1595"/>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592"/>
      <c r="C27" s="1183" t="s">
        <v>492</v>
      </c>
      <c r="D27" s="1240"/>
      <c r="E27" s="1240"/>
      <c r="F27" s="1241"/>
      <c r="G27" s="700" t="s">
        <v>31</v>
      </c>
      <c r="H27" s="440"/>
      <c r="I27" s="441"/>
      <c r="J27" s="426">
        <f t="shared" si="0"/>
        <v>0</v>
      </c>
      <c r="K27" s="442">
        <f>J28</f>
        <v>3</v>
      </c>
      <c r="L27" s="428"/>
      <c r="M27" s="1594"/>
      <c r="N27" s="1595"/>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590" t="s">
        <v>61</v>
      </c>
      <c r="B30" s="1590"/>
      <c r="C30" s="1590"/>
      <c r="D30" s="476"/>
      <c r="E30" s="477"/>
      <c r="F30" s="477"/>
      <c r="K30" s="478"/>
      <c r="L30" s="479"/>
      <c r="P30" s="480"/>
      <c r="Q30" s="480"/>
      <c r="R30" s="480"/>
      <c r="S30" s="480"/>
      <c r="T30" s="480"/>
      <c r="U30" s="481"/>
      <c r="V30" s="481"/>
      <c r="W30" s="482"/>
    </row>
    <row r="31" spans="1:28" s="483" customFormat="1" ht="18" customHeight="1" x14ac:dyDescent="0.2">
      <c r="A31" s="769">
        <v>1</v>
      </c>
      <c r="B31" s="1691"/>
      <c r="C31" s="1692"/>
      <c r="D31" s="1692"/>
      <c r="E31" s="1692"/>
      <c r="F31" s="1692"/>
      <c r="G31" s="1692"/>
      <c r="H31" s="1692"/>
      <c r="I31" s="1692"/>
      <c r="J31" s="1692"/>
      <c r="K31" s="1692"/>
      <c r="L31" s="1692"/>
      <c r="M31" s="1692"/>
      <c r="N31" s="1692"/>
      <c r="O31" s="1692"/>
      <c r="P31" s="1692"/>
      <c r="Q31" s="1692"/>
      <c r="R31" s="1692"/>
      <c r="S31" s="1692"/>
      <c r="T31" s="1692"/>
      <c r="U31" s="1692"/>
      <c r="V31" s="1692"/>
      <c r="W31" s="1693"/>
    </row>
    <row r="32" spans="1:28" s="483" customFormat="1" ht="18" customHeight="1" x14ac:dyDescent="0.2">
      <c r="A32" s="769">
        <v>2</v>
      </c>
      <c r="B32" s="1691"/>
      <c r="C32" s="1692"/>
      <c r="D32" s="1692"/>
      <c r="E32" s="1692"/>
      <c r="F32" s="1692"/>
      <c r="G32" s="1692"/>
      <c r="H32" s="1692"/>
      <c r="I32" s="1692"/>
      <c r="J32" s="1692"/>
      <c r="K32" s="1692"/>
      <c r="L32" s="1692"/>
      <c r="M32" s="1692"/>
      <c r="N32" s="1692"/>
      <c r="O32" s="1692"/>
      <c r="P32" s="1692"/>
      <c r="Q32" s="1692"/>
      <c r="R32" s="1692"/>
      <c r="S32" s="1692"/>
      <c r="T32" s="1692"/>
      <c r="U32" s="1692"/>
      <c r="V32" s="1692"/>
      <c r="W32" s="1693"/>
    </row>
    <row r="33" spans="1:23" s="483" customFormat="1" ht="18" customHeight="1" x14ac:dyDescent="0.2">
      <c r="A33" s="769">
        <v>3</v>
      </c>
      <c r="B33" s="1691"/>
      <c r="C33" s="1692"/>
      <c r="D33" s="1692"/>
      <c r="E33" s="1692"/>
      <c r="F33" s="1692"/>
      <c r="G33" s="1692"/>
      <c r="H33" s="1692"/>
      <c r="I33" s="1692"/>
      <c r="J33" s="1692"/>
      <c r="K33" s="1692"/>
      <c r="L33" s="1692"/>
      <c r="M33" s="1692"/>
      <c r="N33" s="1692"/>
      <c r="O33" s="1692"/>
      <c r="P33" s="1692"/>
      <c r="Q33" s="1692"/>
      <c r="R33" s="1692"/>
      <c r="S33" s="1692"/>
      <c r="T33" s="1692"/>
      <c r="U33" s="1692"/>
      <c r="V33" s="1692"/>
      <c r="W33" s="1693"/>
    </row>
    <row r="34" spans="1:23" s="351" customFormat="1" ht="19.5" customHeight="1" x14ac:dyDescent="0.2">
      <c r="A34" s="769">
        <v>4</v>
      </c>
      <c r="B34" s="1691"/>
      <c r="C34" s="1692"/>
      <c r="D34" s="1692"/>
      <c r="E34" s="1692"/>
      <c r="F34" s="1692"/>
      <c r="G34" s="1692"/>
      <c r="H34" s="1692"/>
      <c r="I34" s="1692"/>
      <c r="J34" s="1692"/>
      <c r="K34" s="1692"/>
      <c r="L34" s="1692"/>
      <c r="M34" s="1692"/>
      <c r="N34" s="1692"/>
      <c r="O34" s="1692"/>
      <c r="P34" s="1692"/>
      <c r="Q34" s="1692"/>
      <c r="R34" s="1692"/>
      <c r="S34" s="1692"/>
      <c r="T34" s="1692"/>
      <c r="U34" s="1692"/>
      <c r="V34" s="1692"/>
      <c r="W34" s="1693"/>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87" t="s">
        <v>328</v>
      </c>
      <c r="B1" s="1188"/>
      <c r="C1" s="1188"/>
      <c r="D1" s="1188"/>
      <c r="E1" s="1188"/>
      <c r="F1" s="1188"/>
      <c r="G1" s="1188"/>
      <c r="H1" s="1188"/>
      <c r="I1" s="1188"/>
      <c r="J1" s="1188"/>
      <c r="K1" s="1188"/>
      <c r="L1" s="1188"/>
      <c r="M1" s="1185"/>
      <c r="N1" s="1185"/>
      <c r="O1" s="1185"/>
      <c r="P1" s="1185"/>
      <c r="Q1" s="1185"/>
      <c r="R1" s="1185"/>
      <c r="S1" s="1185"/>
      <c r="T1" s="1185"/>
      <c r="U1" s="1185"/>
      <c r="V1" s="1185"/>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14"/>
      <c r="O3" s="1513"/>
      <c r="P3" s="785"/>
      <c r="Q3" s="237"/>
      <c r="R3" s="1342" t="s">
        <v>261</v>
      </c>
      <c r="S3" s="1343"/>
      <c r="T3" s="1343"/>
      <c r="U3" s="1343"/>
      <c r="V3" s="1343"/>
      <c r="W3" s="1343"/>
      <c r="X3" s="1344"/>
      <c r="Z3" s="174" t="s">
        <v>250</v>
      </c>
      <c r="AA3" s="132"/>
    </row>
    <row r="4" spans="1:29" s="57" customFormat="1" ht="15.75" x14ac:dyDescent="0.2">
      <c r="A4" s="1202" t="s">
        <v>231</v>
      </c>
      <c r="B4" s="1199"/>
      <c r="C4" s="1199"/>
      <c r="D4" s="1203">
        <f>M1</f>
        <v>0</v>
      </c>
      <c r="E4" s="1204"/>
      <c r="F4" s="1354" t="s">
        <v>28</v>
      </c>
      <c r="G4" s="1197"/>
      <c r="H4" s="208"/>
      <c r="I4" s="1347"/>
      <c r="J4" s="1347"/>
      <c r="K4" s="1347"/>
      <c r="L4" s="1347"/>
      <c r="M4" s="1347"/>
      <c r="N4" s="1348" t="s">
        <v>257</v>
      </c>
      <c r="O4" s="1348"/>
      <c r="P4" s="209"/>
      <c r="Q4" s="238"/>
      <c r="R4" s="1349" t="s">
        <v>236</v>
      </c>
      <c r="S4" s="1350"/>
      <c r="T4" s="1350"/>
      <c r="U4" s="1350"/>
      <c r="V4" s="1350"/>
      <c r="W4" s="1350"/>
      <c r="X4" s="1351"/>
      <c r="Z4" s="271" t="s">
        <v>308</v>
      </c>
      <c r="AA4" s="269" t="s">
        <v>309</v>
      </c>
      <c r="AB4" s="269" t="s">
        <v>310</v>
      </c>
    </row>
    <row r="5" spans="1:29" s="57" customFormat="1" ht="15.75" x14ac:dyDescent="0.2">
      <c r="A5" s="1200" t="s">
        <v>4</v>
      </c>
      <c r="B5" s="1201"/>
      <c r="C5" s="1201"/>
      <c r="D5" s="1221"/>
      <c r="E5" s="1193"/>
      <c r="F5" s="1228" t="s">
        <v>244</v>
      </c>
      <c r="G5" s="1196"/>
      <c r="H5" s="185"/>
      <c r="I5" s="1310"/>
      <c r="J5" s="1310"/>
      <c r="K5" s="1310"/>
      <c r="L5" s="1310"/>
      <c r="M5" s="1310"/>
      <c r="N5" s="1338" t="s">
        <v>22</v>
      </c>
      <c r="O5" s="1338"/>
      <c r="P5" s="58"/>
      <c r="Q5" s="238"/>
      <c r="R5" s="1339" t="s">
        <v>391</v>
      </c>
      <c r="S5" s="1340"/>
      <c r="T5" s="1340"/>
      <c r="U5" s="1340"/>
      <c r="V5" s="1340"/>
      <c r="W5" s="1340"/>
      <c r="X5" s="1341"/>
      <c r="Z5" s="172" t="s">
        <v>31</v>
      </c>
      <c r="AA5" s="176">
        <f>SUMIF($G$16:$G$39,"STATE",$L$16:$L$39)</f>
        <v>587.80000000000007</v>
      </c>
      <c r="AB5" s="176">
        <f>SUMIF($G$16:$G$39,"STATE",$T$16:$T$39)</f>
        <v>0</v>
      </c>
    </row>
    <row r="6" spans="1:29" s="57" customFormat="1" ht="16.5" thickBot="1" x14ac:dyDescent="0.25">
      <c r="A6" s="1200" t="s">
        <v>12</v>
      </c>
      <c r="B6" s="1201"/>
      <c r="C6" s="1201"/>
      <c r="D6" s="1158"/>
      <c r="E6" s="1193"/>
      <c r="F6" s="1228" t="s">
        <v>20</v>
      </c>
      <c r="G6" s="1196"/>
      <c r="H6" s="185"/>
      <c r="I6" s="1310" t="s">
        <v>11</v>
      </c>
      <c r="J6" s="1310"/>
      <c r="K6" s="1310"/>
      <c r="L6" s="1310"/>
      <c r="M6" s="1310"/>
      <c r="N6" s="1334" t="s">
        <v>233</v>
      </c>
      <c r="O6" s="1334"/>
      <c r="P6" s="212">
        <f>P4+P5*10</f>
        <v>0</v>
      </c>
      <c r="Q6" s="238"/>
      <c r="R6" s="1335" t="s">
        <v>573</v>
      </c>
      <c r="S6" s="1336"/>
      <c r="T6" s="1336"/>
      <c r="U6" s="1336"/>
      <c r="V6" s="1336"/>
      <c r="W6" s="1336"/>
      <c r="X6" s="1337"/>
      <c r="Z6" s="172" t="s">
        <v>32</v>
      </c>
      <c r="AA6" s="176">
        <f>SUMIF($G$16:$G$39,"COUNTY",$L$16:$L$39)</f>
        <v>333.20000000000005</v>
      </c>
      <c r="AB6" s="176">
        <f>SUMIF($G$16:$G$39,"COUNTY",$T$16:$T$39)</f>
        <v>0</v>
      </c>
    </row>
    <row r="7" spans="1:29" s="57" customFormat="1" ht="16.5" thickBot="1" x14ac:dyDescent="0.25">
      <c r="A7" s="1200" t="s">
        <v>5</v>
      </c>
      <c r="B7" s="1201"/>
      <c r="C7" s="1201"/>
      <c r="D7" s="1158"/>
      <c r="E7" s="1193"/>
      <c r="F7" s="1227" t="s">
        <v>21</v>
      </c>
      <c r="G7" s="1182"/>
      <c r="H7" s="241"/>
      <c r="I7" s="1321"/>
      <c r="J7" s="1321"/>
      <c r="K7" s="1321"/>
      <c r="L7" s="1321"/>
      <c r="M7" s="1322"/>
      <c r="N7" s="235"/>
      <c r="O7" s="242"/>
      <c r="P7" s="236"/>
      <c r="Q7" s="238"/>
      <c r="R7" s="1323" t="s">
        <v>332</v>
      </c>
      <c r="S7" s="1324"/>
      <c r="T7" s="1324"/>
      <c r="U7" s="1324"/>
      <c r="V7" s="1324"/>
      <c r="W7" s="1324"/>
      <c r="X7" s="1325"/>
      <c r="Z7" s="172" t="s">
        <v>52</v>
      </c>
      <c r="AA7" s="176">
        <f>SUMIF($G$16:$G$39,"CITY",$L$16:$L$39)</f>
        <v>0</v>
      </c>
      <c r="AB7" s="176">
        <f>SUMIF($G$16:$G$39,"CITY",$T$16:$T$39)</f>
        <v>0</v>
      </c>
    </row>
    <row r="8" spans="1:29" s="57" customFormat="1" ht="15.75" customHeight="1" x14ac:dyDescent="0.2">
      <c r="A8" s="1326" t="s">
        <v>444</v>
      </c>
      <c r="B8" s="1327"/>
      <c r="C8" s="1327"/>
      <c r="D8" s="1328" t="s">
        <v>436</v>
      </c>
      <c r="E8" s="1372"/>
      <c r="F8" s="1202" t="s">
        <v>253</v>
      </c>
      <c r="G8" s="1199"/>
      <c r="H8" s="187"/>
      <c r="I8" s="1332"/>
      <c r="J8" s="1332"/>
      <c r="K8" s="1332"/>
      <c r="L8" s="1332"/>
      <c r="M8" s="1332"/>
      <c r="N8" s="1373" t="s">
        <v>257</v>
      </c>
      <c r="O8" s="1373"/>
      <c r="P8" s="55">
        <v>0</v>
      </c>
      <c r="Q8" s="239"/>
      <c r="R8" s="1314" t="s">
        <v>303</v>
      </c>
      <c r="S8" s="1266"/>
      <c r="T8" s="1266"/>
      <c r="U8" s="1266"/>
      <c r="V8" s="1266"/>
      <c r="W8" s="1266"/>
      <c r="X8" s="1315"/>
      <c r="Z8" s="172" t="s">
        <v>230</v>
      </c>
      <c r="AA8" s="176">
        <f>SUMIF($G$16:$G$39,"COURT",$L$16:$L$39)</f>
        <v>0</v>
      </c>
      <c r="AB8" s="176">
        <f>SUMIF($G$16:$G$39,"COURT",$T$16:$T$39)</f>
        <v>0</v>
      </c>
    </row>
    <row r="9" spans="1:29" s="57" customFormat="1" ht="18" customHeight="1" thickBot="1" x14ac:dyDescent="0.25">
      <c r="A9" s="1318" t="s">
        <v>85</v>
      </c>
      <c r="B9" s="1319"/>
      <c r="C9" s="1319"/>
      <c r="D9" s="1189" t="str">
        <f>IF(D8="Yes", "No", "Yes")</f>
        <v>No</v>
      </c>
      <c r="E9" s="1190"/>
      <c r="F9" s="1228" t="s">
        <v>244</v>
      </c>
      <c r="G9" s="1196"/>
      <c r="H9" s="185"/>
      <c r="I9" s="1310"/>
      <c r="J9" s="1310"/>
      <c r="K9" s="1310"/>
      <c r="L9" s="1310"/>
      <c r="M9" s="1310"/>
      <c r="N9" s="1338" t="s">
        <v>22</v>
      </c>
      <c r="O9" s="1338"/>
      <c r="P9" s="58"/>
      <c r="Q9" s="239"/>
      <c r="R9" s="1316"/>
      <c r="S9" s="1269"/>
      <c r="T9" s="1269"/>
      <c r="U9" s="1269"/>
      <c r="V9" s="1269"/>
      <c r="W9" s="1269"/>
      <c r="X9" s="1317"/>
      <c r="Z9" s="153" t="s">
        <v>456</v>
      </c>
      <c r="AA9" s="176">
        <f>SUMIF($G$16:$G$39,"ST or CNTY",$L$16:$L$39)</f>
        <v>49</v>
      </c>
      <c r="AB9" s="176">
        <f>SUMIF($G$16:$G$39,"ST or CNTY",$T$16:$T$39)</f>
        <v>0</v>
      </c>
    </row>
    <row r="10" spans="1:29" s="57" customFormat="1" ht="16.5" customHeight="1" thickBot="1" x14ac:dyDescent="0.25">
      <c r="A10" s="1152" t="s">
        <v>276</v>
      </c>
      <c r="B10" s="1153"/>
      <c r="C10" s="1153"/>
      <c r="D10" s="1148">
        <f>P6+P10+I16+I17</f>
        <v>200</v>
      </c>
      <c r="E10" s="1149"/>
      <c r="F10" s="1228" t="s">
        <v>20</v>
      </c>
      <c r="G10" s="1196"/>
      <c r="H10" s="185"/>
      <c r="I10" s="1310"/>
      <c r="J10" s="1310"/>
      <c r="K10" s="1310"/>
      <c r="L10" s="1310"/>
      <c r="M10" s="1310"/>
      <c r="N10" s="1334" t="s">
        <v>233</v>
      </c>
      <c r="O10" s="1334"/>
      <c r="P10" s="212">
        <f>P8+P9*10</f>
        <v>0</v>
      </c>
      <c r="Q10" s="240"/>
      <c r="R10" s="1311" t="s">
        <v>239</v>
      </c>
      <c r="S10" s="1312"/>
      <c r="T10" s="1312"/>
      <c r="U10" s="1312"/>
      <c r="V10" s="1312"/>
      <c r="W10" s="1312"/>
      <c r="X10" s="1313"/>
      <c r="Z10" s="683" t="s">
        <v>246</v>
      </c>
      <c r="AA10" s="148">
        <f>SUM(AA5:AA9)</f>
        <v>970.00000000000011</v>
      </c>
      <c r="AB10" s="148">
        <f>SUM(AB5:AB9)</f>
        <v>0</v>
      </c>
    </row>
    <row r="11" spans="1:29" s="57" customFormat="1" ht="16.5" customHeight="1" thickBot="1" x14ac:dyDescent="0.25">
      <c r="A11" s="1150" t="s">
        <v>277</v>
      </c>
      <c r="B11" s="1151"/>
      <c r="C11" s="1151"/>
      <c r="D11" s="1146">
        <f>ROUNDUP(D10/10,0)</f>
        <v>20</v>
      </c>
      <c r="E11" s="1147"/>
      <c r="F11" s="1294" t="s">
        <v>21</v>
      </c>
      <c r="G11" s="1174"/>
      <c r="H11" s="186"/>
      <c r="I11" s="1295"/>
      <c r="J11" s="1295"/>
      <c r="K11" s="1295"/>
      <c r="L11" s="1295"/>
      <c r="M11" s="1690"/>
      <c r="N11" s="1416" t="s">
        <v>568</v>
      </c>
      <c r="O11" s="1448"/>
      <c r="P11" s="780">
        <f>'1-DUI (Reduce Base)'!P11</f>
        <v>7</v>
      </c>
      <c r="Q11" s="240"/>
      <c r="R11" s="1296" t="s">
        <v>430</v>
      </c>
      <c r="S11" s="1297"/>
      <c r="T11" s="1297"/>
      <c r="U11" s="1297"/>
      <c r="V11" s="1297"/>
      <c r="W11" s="1297"/>
      <c r="X11" s="1298"/>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99" t="s">
        <v>297</v>
      </c>
      <c r="J13" s="1300"/>
      <c r="K13" s="1300"/>
      <c r="L13" s="1301"/>
      <c r="M13" s="110"/>
      <c r="N13" s="1302" t="s">
        <v>229</v>
      </c>
      <c r="O13" s="1303"/>
      <c r="P13" s="1304"/>
      <c r="Q13" s="111"/>
      <c r="R13" s="1305" t="s">
        <v>295</v>
      </c>
      <c r="S13" s="1306"/>
      <c r="T13" s="1307"/>
      <c r="U13" s="226"/>
      <c r="V13" s="158"/>
      <c r="W13" s="158"/>
      <c r="X13" s="159"/>
      <c r="Y13" s="108"/>
      <c r="Z13" s="108"/>
      <c r="AA13" s="108"/>
      <c r="AB13" s="108"/>
      <c r="AC13" s="108"/>
    </row>
    <row r="14" spans="1:29" ht="44.25" customHeight="1" thickBot="1" x14ac:dyDescent="0.25">
      <c r="A14" s="686">
        <v>0.02</v>
      </c>
      <c r="B14" s="686" t="s">
        <v>58</v>
      </c>
      <c r="C14" s="1160" t="s">
        <v>226</v>
      </c>
      <c r="D14" s="1161"/>
      <c r="E14" s="1161"/>
      <c r="F14" s="1162"/>
      <c r="G14" s="688" t="s">
        <v>249</v>
      </c>
      <c r="H14" s="114" t="s">
        <v>0</v>
      </c>
      <c r="I14" s="684" t="s">
        <v>298</v>
      </c>
      <c r="J14" s="692" t="s">
        <v>252</v>
      </c>
      <c r="K14" s="1287" t="s">
        <v>6</v>
      </c>
      <c r="L14" s="691" t="s">
        <v>299</v>
      </c>
      <c r="M14" s="67"/>
      <c r="N14" s="1256" t="s">
        <v>260</v>
      </c>
      <c r="O14" s="1257"/>
      <c r="P14" s="692" t="s">
        <v>248</v>
      </c>
      <c r="Q14" s="121"/>
      <c r="R14" s="690" t="s">
        <v>428</v>
      </c>
      <c r="S14" s="1287" t="s">
        <v>6</v>
      </c>
      <c r="T14" s="691" t="s">
        <v>299</v>
      </c>
      <c r="U14" s="228"/>
      <c r="V14" s="682" t="s">
        <v>256</v>
      </c>
      <c r="W14" s="1289" t="s">
        <v>61</v>
      </c>
      <c r="X14" s="1291" t="s">
        <v>384</v>
      </c>
    </row>
    <row r="15" spans="1:29" ht="30.75" customHeight="1" thickBot="1" x14ac:dyDescent="0.25">
      <c r="A15" s="687"/>
      <c r="B15" s="687"/>
      <c r="C15" s="1163"/>
      <c r="D15" s="1164"/>
      <c r="E15" s="1164"/>
      <c r="F15" s="1165"/>
      <c r="G15" s="689"/>
      <c r="H15" s="689"/>
      <c r="I15" s="685"/>
      <c r="J15" s="161">
        <f>J33/I33</f>
        <v>2.5466666666666669</v>
      </c>
      <c r="K15" s="1288"/>
      <c r="L15" s="244" t="s">
        <v>42</v>
      </c>
      <c r="M15" s="68"/>
      <c r="N15" s="1254"/>
      <c r="O15" s="1255"/>
      <c r="P15" s="245" t="s">
        <v>43</v>
      </c>
      <c r="Q15" s="121"/>
      <c r="R15" s="246">
        <f>R33/I33</f>
        <v>0</v>
      </c>
      <c r="S15" s="1288"/>
      <c r="T15" s="244" t="s">
        <v>44</v>
      </c>
      <c r="U15" s="228"/>
      <c r="V15" s="298" t="s">
        <v>300</v>
      </c>
      <c r="W15" s="1290"/>
      <c r="X15" s="1292"/>
    </row>
    <row r="16" spans="1:29" s="74" customFormat="1" ht="15.75" customHeight="1" thickTop="1" x14ac:dyDescent="0.2">
      <c r="A16" s="69" t="s">
        <v>8</v>
      </c>
      <c r="B16" s="1567" t="s">
        <v>241</v>
      </c>
      <c r="C16" s="1285" t="s">
        <v>465</v>
      </c>
      <c r="D16" s="1226"/>
      <c r="E16" s="1226"/>
      <c r="F16" s="1226"/>
      <c r="G16" s="695" t="s">
        <v>456</v>
      </c>
      <c r="H16" s="71" t="s">
        <v>329</v>
      </c>
      <c r="I16" s="204">
        <v>50</v>
      </c>
      <c r="J16" s="160">
        <f>I16</f>
        <v>50</v>
      </c>
      <c r="K16" s="162">
        <f t="shared" ref="K16:K32" si="0">IF(A16="Y", I16*2%,0)</f>
        <v>1</v>
      </c>
      <c r="L16" s="198">
        <f>I16-K16</f>
        <v>49</v>
      </c>
      <c r="M16" s="164"/>
      <c r="N16" s="1271"/>
      <c r="O16" s="1272"/>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78"/>
      <c r="C17" s="1285" t="s">
        <v>420</v>
      </c>
      <c r="D17" s="1226"/>
      <c r="E17" s="1226"/>
      <c r="F17" s="1226"/>
      <c r="G17" s="694" t="s">
        <v>32</v>
      </c>
      <c r="H17" s="77" t="s">
        <v>71</v>
      </c>
      <c r="I17" s="204">
        <v>150</v>
      </c>
      <c r="J17" s="155">
        <f>I17</f>
        <v>150</v>
      </c>
      <c r="K17" s="162">
        <f t="shared" si="0"/>
        <v>3</v>
      </c>
      <c r="L17" s="167">
        <f t="shared" ref="L17:L38" si="2">I17-K17</f>
        <v>147</v>
      </c>
      <c r="M17" s="164"/>
      <c r="N17" s="1183"/>
      <c r="O17" s="1184"/>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178"/>
      <c r="C18" s="1172" t="s">
        <v>330</v>
      </c>
      <c r="D18" s="1172"/>
      <c r="E18" s="1172"/>
      <c r="F18" s="1172"/>
      <c r="G18" s="694" t="s">
        <v>31</v>
      </c>
      <c r="H18" s="77" t="s">
        <v>10</v>
      </c>
      <c r="I18" s="155">
        <f>($D$10-SUM($I$16:$I$17))*75%</f>
        <v>0</v>
      </c>
      <c r="J18" s="155" t="e">
        <f>((SUM(I16:I19)*J15)-SUM(J16:J17))*D8</f>
        <v>#VALUE!</v>
      </c>
      <c r="K18" s="162">
        <f t="shared" si="0"/>
        <v>0</v>
      </c>
      <c r="L18" s="167">
        <f t="shared" si="2"/>
        <v>0</v>
      </c>
      <c r="M18" s="164"/>
      <c r="N18" s="1183"/>
      <c r="O18" s="1184"/>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179"/>
      <c r="C19" s="1172" t="s">
        <v>331</v>
      </c>
      <c r="D19" s="1172"/>
      <c r="E19" s="1172"/>
      <c r="F19" s="1172"/>
      <c r="G19" s="701" t="str">
        <f>IF(D8="Yes","COUNTY","CITY")</f>
        <v>COUNTY</v>
      </c>
      <c r="H19" s="77" t="s">
        <v>24</v>
      </c>
      <c r="I19" s="155">
        <f>($D$10-SUM($I$16:$I$17))*25%</f>
        <v>0</v>
      </c>
      <c r="J19" s="155" t="e">
        <f>((SUM(I16:I19)*J15)-SUM(J16:J17))*D9</f>
        <v>#VALUE!</v>
      </c>
      <c r="K19" s="162">
        <f t="shared" si="0"/>
        <v>0</v>
      </c>
      <c r="L19" s="167">
        <f t="shared" si="2"/>
        <v>0</v>
      </c>
      <c r="M19" s="164"/>
      <c r="N19" s="1183"/>
      <c r="O19" s="1184"/>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172" t="s">
        <v>546</v>
      </c>
      <c r="D20" s="1172"/>
      <c r="E20" s="1172"/>
      <c r="F20" s="1172"/>
      <c r="G20" s="694" t="s">
        <v>31</v>
      </c>
      <c r="H20" s="77" t="s">
        <v>26</v>
      </c>
      <c r="I20" s="155">
        <f>$D$11*B20</f>
        <v>140</v>
      </c>
      <c r="J20" s="155">
        <f>$J$15*I20</f>
        <v>356.53333333333336</v>
      </c>
      <c r="K20" s="162">
        <f t="shared" si="0"/>
        <v>2.8000000000000003</v>
      </c>
      <c r="L20" s="167">
        <f t="shared" si="2"/>
        <v>137.19999999999999</v>
      </c>
      <c r="M20" s="164"/>
      <c r="N20" s="1183"/>
      <c r="O20" s="1184"/>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172" t="s">
        <v>547</v>
      </c>
      <c r="D21" s="1172"/>
      <c r="E21" s="1172"/>
      <c r="F21" s="1172"/>
      <c r="G21" s="694" t="s">
        <v>32</v>
      </c>
      <c r="H21" s="77" t="s">
        <v>27</v>
      </c>
      <c r="I21" s="155">
        <f t="shared" ref="I21:I31" si="6">$D$11*B21</f>
        <v>60</v>
      </c>
      <c r="J21" s="155">
        <f t="shared" ref="J21:J32" si="7">$J$15*I21</f>
        <v>152.80000000000001</v>
      </c>
      <c r="K21" s="162">
        <f t="shared" si="0"/>
        <v>1.2</v>
      </c>
      <c r="L21" s="167">
        <f t="shared" si="2"/>
        <v>58.8</v>
      </c>
      <c r="M21" s="164"/>
      <c r="N21" s="1183"/>
      <c r="O21" s="1184"/>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183" t="s">
        <v>216</v>
      </c>
      <c r="D22" s="1240"/>
      <c r="E22" s="1240"/>
      <c r="F22" s="1241"/>
      <c r="G22" s="694" t="s">
        <v>32</v>
      </c>
      <c r="H22" s="77" t="s">
        <v>55</v>
      </c>
      <c r="I22" s="155">
        <f t="shared" si="6"/>
        <v>20</v>
      </c>
      <c r="J22" s="155">
        <f t="shared" si="7"/>
        <v>50.933333333333337</v>
      </c>
      <c r="K22" s="162">
        <f t="shared" si="0"/>
        <v>0.4</v>
      </c>
      <c r="L22" s="167">
        <f t="shared" si="2"/>
        <v>19.600000000000001</v>
      </c>
      <c r="M22" s="164"/>
      <c r="N22" s="1183"/>
      <c r="O22" s="1184"/>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183" t="s">
        <v>466</v>
      </c>
      <c r="D23" s="1240"/>
      <c r="E23" s="1240"/>
      <c r="F23" s="1241"/>
      <c r="G23" s="694" t="s">
        <v>31</v>
      </c>
      <c r="H23" s="77" t="s">
        <v>72</v>
      </c>
      <c r="I23" s="155">
        <f t="shared" si="6"/>
        <v>80</v>
      </c>
      <c r="J23" s="155">
        <f t="shared" si="7"/>
        <v>203.73333333333335</v>
      </c>
      <c r="K23" s="162">
        <f t="shared" si="0"/>
        <v>1.6</v>
      </c>
      <c r="L23" s="167">
        <f t="shared" si="2"/>
        <v>78.400000000000006</v>
      </c>
      <c r="M23" s="164"/>
      <c r="N23" s="1183"/>
      <c r="O23" s="1184"/>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172" t="s">
        <v>217</v>
      </c>
      <c r="D24" s="1172"/>
      <c r="E24" s="1279" t="str">
        <f>IF(SUM(B24:B28)=P11,"GC 76000 PA ($" &amp;P11 &amp; " for every 10) breakdown per local board of supervisor resolution (BOS).","ERROR! GC 76000 PA total is not $" &amp;P11&amp; ". Check Court's board resolution.")</f>
        <v>ERROR! GC 76000 PA total is not $7. Check Court's board resolution.</v>
      </c>
      <c r="F24" s="1280"/>
      <c r="G24" s="694" t="s">
        <v>32</v>
      </c>
      <c r="H24" s="77" t="s">
        <v>64</v>
      </c>
      <c r="I24" s="155">
        <f t="shared" si="6"/>
        <v>0</v>
      </c>
      <c r="J24" s="155">
        <f t="shared" si="7"/>
        <v>0</v>
      </c>
      <c r="K24" s="162">
        <f t="shared" si="0"/>
        <v>0</v>
      </c>
      <c r="L24" s="167">
        <f t="shared" si="2"/>
        <v>0</v>
      </c>
      <c r="M24" s="164"/>
      <c r="N24" s="1183"/>
      <c r="O24" s="1184"/>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172" t="s">
        <v>218</v>
      </c>
      <c r="D25" s="1172"/>
      <c r="E25" s="1281"/>
      <c r="F25" s="1282"/>
      <c r="G25" s="694" t="s">
        <v>32</v>
      </c>
      <c r="H25" s="77" t="s">
        <v>35</v>
      </c>
      <c r="I25" s="155">
        <f t="shared" si="6"/>
        <v>20</v>
      </c>
      <c r="J25" s="155">
        <f t="shared" si="7"/>
        <v>50.933333333333337</v>
      </c>
      <c r="K25" s="162">
        <f t="shared" si="0"/>
        <v>0.4</v>
      </c>
      <c r="L25" s="167">
        <f t="shared" si="2"/>
        <v>19.600000000000001</v>
      </c>
      <c r="M25" s="164"/>
      <c r="N25" s="1183"/>
      <c r="O25" s="1184"/>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172" t="s">
        <v>219</v>
      </c>
      <c r="D26" s="1172"/>
      <c r="E26" s="1281"/>
      <c r="F26" s="1282"/>
      <c r="G26" s="694" t="s">
        <v>32</v>
      </c>
      <c r="H26" s="77" t="s">
        <v>65</v>
      </c>
      <c r="I26" s="155">
        <f t="shared" si="6"/>
        <v>20</v>
      </c>
      <c r="J26" s="155">
        <f t="shared" si="7"/>
        <v>50.933333333333337</v>
      </c>
      <c r="K26" s="162">
        <f t="shared" si="0"/>
        <v>0.4</v>
      </c>
      <c r="L26" s="167">
        <f t="shared" si="2"/>
        <v>19.600000000000001</v>
      </c>
      <c r="M26" s="164"/>
      <c r="N26" s="1183"/>
      <c r="O26" s="1184"/>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172" t="s">
        <v>401</v>
      </c>
      <c r="D27" s="1172"/>
      <c r="E27" s="1281"/>
      <c r="F27" s="1282"/>
      <c r="G27" s="694" t="s">
        <v>32</v>
      </c>
      <c r="H27" s="77" t="s">
        <v>65</v>
      </c>
      <c r="I27" s="155">
        <f>$D$11*B27</f>
        <v>10</v>
      </c>
      <c r="J27" s="155">
        <f>$J$15*I27</f>
        <v>25.466666666666669</v>
      </c>
      <c r="K27" s="162">
        <f>IF(A27="Y", I27*2%,0)</f>
        <v>0.2</v>
      </c>
      <c r="L27" s="167">
        <f>I27-K27</f>
        <v>9.8000000000000007</v>
      </c>
      <c r="M27" s="164"/>
      <c r="N27" s="1183"/>
      <c r="O27" s="1184"/>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172" t="s">
        <v>254</v>
      </c>
      <c r="D28" s="1172"/>
      <c r="E28" s="1283"/>
      <c r="F28" s="1284"/>
      <c r="G28" s="694" t="s">
        <v>32</v>
      </c>
      <c r="H28" s="77"/>
      <c r="I28" s="155">
        <f t="shared" si="6"/>
        <v>20</v>
      </c>
      <c r="J28" s="155">
        <f t="shared" si="7"/>
        <v>50.933333333333337</v>
      </c>
      <c r="K28" s="162">
        <f t="shared" si="0"/>
        <v>0.4</v>
      </c>
      <c r="L28" s="167">
        <f t="shared" si="2"/>
        <v>19.600000000000001</v>
      </c>
      <c r="M28" s="164"/>
      <c r="N28" s="1183"/>
      <c r="O28" s="1184"/>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154" t="s">
        <v>286</v>
      </c>
      <c r="D29" s="1155"/>
      <c r="E29" s="1155"/>
      <c r="F29" s="1232"/>
      <c r="G29" s="702" t="s">
        <v>32</v>
      </c>
      <c r="H29" s="84" t="s">
        <v>36</v>
      </c>
      <c r="I29" s="155">
        <f t="shared" si="6"/>
        <v>40</v>
      </c>
      <c r="J29" s="155">
        <f t="shared" si="7"/>
        <v>101.86666666666667</v>
      </c>
      <c r="K29" s="162">
        <f t="shared" si="0"/>
        <v>0.8</v>
      </c>
      <c r="L29" s="167">
        <f t="shared" si="2"/>
        <v>39.200000000000003</v>
      </c>
      <c r="M29" s="164"/>
      <c r="N29" s="1183"/>
      <c r="O29" s="1184"/>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154" t="s">
        <v>555</v>
      </c>
      <c r="D30" s="1155"/>
      <c r="E30" s="1232"/>
      <c r="F30" s="1088" t="s">
        <v>281</v>
      </c>
      <c r="G30" s="702" t="s">
        <v>31</v>
      </c>
      <c r="H30" s="84" t="s">
        <v>37</v>
      </c>
      <c r="I30" s="155">
        <f t="shared" si="6"/>
        <v>40</v>
      </c>
      <c r="J30" s="155">
        <f t="shared" si="7"/>
        <v>101.86666666666667</v>
      </c>
      <c r="K30" s="162">
        <f t="shared" si="0"/>
        <v>0.8</v>
      </c>
      <c r="L30" s="167">
        <f t="shared" si="2"/>
        <v>39.200000000000003</v>
      </c>
      <c r="M30" s="164"/>
      <c r="N30" s="1183"/>
      <c r="O30" s="1184"/>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154" t="s">
        <v>556</v>
      </c>
      <c r="D31" s="1155"/>
      <c r="E31" s="1232"/>
      <c r="F31" s="1089"/>
      <c r="G31" s="702" t="s">
        <v>31</v>
      </c>
      <c r="H31" s="84" t="s">
        <v>197</v>
      </c>
      <c r="I31" s="155">
        <f t="shared" si="6"/>
        <v>60</v>
      </c>
      <c r="J31" s="155">
        <f t="shared" si="7"/>
        <v>152.80000000000001</v>
      </c>
      <c r="K31" s="162">
        <f t="shared" si="0"/>
        <v>1.2</v>
      </c>
      <c r="L31" s="167">
        <f t="shared" si="2"/>
        <v>58.8</v>
      </c>
      <c r="M31" s="164"/>
      <c r="N31" s="1183"/>
      <c r="O31" s="1184"/>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154" t="s">
        <v>220</v>
      </c>
      <c r="D32" s="1155"/>
      <c r="E32" s="1155"/>
      <c r="F32" s="1232"/>
      <c r="G32" s="702" t="s">
        <v>31</v>
      </c>
      <c r="H32" s="84" t="s">
        <v>10</v>
      </c>
      <c r="I32" s="155">
        <f>$D$10*20%</f>
        <v>40</v>
      </c>
      <c r="J32" s="155">
        <f t="shared" si="7"/>
        <v>101.86666666666667</v>
      </c>
      <c r="K32" s="162">
        <f t="shared" si="0"/>
        <v>0</v>
      </c>
      <c r="L32" s="167">
        <f t="shared" si="2"/>
        <v>40</v>
      </c>
      <c r="M32" s="164"/>
      <c r="N32" s="1183"/>
      <c r="O32" s="1184"/>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229" t="s">
        <v>221</v>
      </c>
      <c r="D33" s="1230"/>
      <c r="E33" s="1230"/>
      <c r="F33" s="1231"/>
      <c r="G33" s="703"/>
      <c r="H33" s="88"/>
      <c r="I33" s="157">
        <f>SUM(I16:I32)</f>
        <v>750</v>
      </c>
      <c r="J33" s="157">
        <f>J41-SUM(J34:J38)</f>
        <v>1910</v>
      </c>
      <c r="K33" s="162"/>
      <c r="L33" s="168">
        <f>SUM(L16:L32)</f>
        <v>735.80000000000007</v>
      </c>
      <c r="M33" s="165"/>
      <c r="N33" s="1154"/>
      <c r="O33" s="1239"/>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154" t="s">
        <v>419</v>
      </c>
      <c r="D34" s="1155"/>
      <c r="E34" s="1155"/>
      <c r="F34" s="1232"/>
      <c r="G34" s="702" t="s">
        <v>31</v>
      </c>
      <c r="H34" s="91"/>
      <c r="I34" s="204">
        <v>40</v>
      </c>
      <c r="J34" s="155"/>
      <c r="K34" s="162">
        <f>IF(A34="Y", I34*2%,0)</f>
        <v>0</v>
      </c>
      <c r="L34" s="167">
        <f>I34-K34</f>
        <v>40</v>
      </c>
      <c r="M34" s="164"/>
      <c r="N34" s="1154"/>
      <c r="O34" s="1239"/>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233" t="s">
        <v>259</v>
      </c>
      <c r="D35" s="1234"/>
      <c r="E35" s="1234"/>
      <c r="F35" s="1235"/>
      <c r="G35" s="704" t="s">
        <v>31</v>
      </c>
      <c r="H35" s="92" t="s">
        <v>197</v>
      </c>
      <c r="I35" s="204">
        <v>30</v>
      </c>
      <c r="J35" s="155">
        <f t="shared" ref="J35:J38" si="8">I35</f>
        <v>30</v>
      </c>
      <c r="K35" s="162">
        <f t="shared" ref="K35:K38" si="9">IF(A35="Y", I35*2%,0)</f>
        <v>0</v>
      </c>
      <c r="L35" s="167">
        <f t="shared" si="2"/>
        <v>30</v>
      </c>
      <c r="M35" s="164"/>
      <c r="N35" s="1183"/>
      <c r="O35" s="1184"/>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1694" t="s">
        <v>560</v>
      </c>
      <c r="D36" s="1694"/>
      <c r="E36" s="1694"/>
      <c r="F36" s="1694"/>
      <c r="G36" s="704" t="s">
        <v>31</v>
      </c>
      <c r="H36" s="92"/>
      <c r="I36" s="204">
        <v>150</v>
      </c>
      <c r="J36" s="155"/>
      <c r="K36" s="162">
        <f t="shared" si="9"/>
        <v>3</v>
      </c>
      <c r="L36" s="167">
        <f t="shared" si="2"/>
        <v>147</v>
      </c>
      <c r="M36" s="164"/>
      <c r="N36" s="1183"/>
      <c r="O36" s="1184"/>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233" t="s">
        <v>454</v>
      </c>
      <c r="D37" s="1234"/>
      <c r="E37" s="1234"/>
      <c r="F37" s="1235"/>
      <c r="G37" s="694" t="s">
        <v>32</v>
      </c>
      <c r="H37" s="92"/>
      <c r="I37" s="204"/>
      <c r="J37" s="155"/>
      <c r="K37" s="162">
        <f t="shared" si="9"/>
        <v>0</v>
      </c>
      <c r="L37" s="167">
        <f t="shared" si="2"/>
        <v>0</v>
      </c>
      <c r="M37" s="164"/>
      <c r="N37" s="1183"/>
      <c r="O37" s="1184"/>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154" t="s">
        <v>520</v>
      </c>
      <c r="D38" s="1155"/>
      <c r="E38" s="1155"/>
      <c r="F38" s="1232"/>
      <c r="G38" s="704" t="s">
        <v>230</v>
      </c>
      <c r="H38" s="92" t="s">
        <v>82</v>
      </c>
      <c r="I38" s="204"/>
      <c r="J38" s="155">
        <f t="shared" si="8"/>
        <v>0</v>
      </c>
      <c r="K38" s="162">
        <f t="shared" si="9"/>
        <v>0</v>
      </c>
      <c r="L38" s="167">
        <f t="shared" si="2"/>
        <v>0</v>
      </c>
      <c r="M38" s="164"/>
      <c r="N38" s="1183"/>
      <c r="O38" s="1184"/>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183" t="s">
        <v>492</v>
      </c>
      <c r="D39" s="1240"/>
      <c r="E39" s="1240"/>
      <c r="F39" s="1241"/>
      <c r="G39" s="705" t="s">
        <v>31</v>
      </c>
      <c r="H39" s="96" t="s">
        <v>41</v>
      </c>
      <c r="I39" s="97"/>
      <c r="J39" s="104"/>
      <c r="K39" s="163"/>
      <c r="L39" s="169">
        <f>K40</f>
        <v>17.200000000000003</v>
      </c>
      <c r="M39" s="164"/>
      <c r="N39" s="1183"/>
      <c r="O39" s="1184"/>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276" t="s">
        <v>61</v>
      </c>
      <c r="B42" s="1276"/>
      <c r="C42" s="1276"/>
      <c r="D42" s="210"/>
      <c r="E42" s="133"/>
      <c r="F42" s="133"/>
      <c r="J42" s="134"/>
      <c r="L42" s="135"/>
      <c r="M42" s="136"/>
      <c r="Q42" s="137"/>
      <c r="R42" s="137"/>
      <c r="S42" s="137"/>
      <c r="T42" s="137"/>
      <c r="U42" s="137"/>
      <c r="V42" s="138"/>
      <c r="W42" s="138"/>
      <c r="X42" s="139"/>
    </row>
    <row r="43" spans="1:29" s="141" customFormat="1" ht="18" customHeight="1" x14ac:dyDescent="0.2">
      <c r="A43" s="769">
        <v>1</v>
      </c>
      <c r="B43" s="1708"/>
      <c r="C43" s="1709"/>
      <c r="D43" s="1709"/>
      <c r="E43" s="1709"/>
      <c r="F43" s="1709"/>
      <c r="G43" s="1709"/>
      <c r="H43" s="1709"/>
      <c r="I43" s="1709"/>
      <c r="J43" s="1709"/>
      <c r="K43" s="1709"/>
      <c r="L43" s="1709"/>
      <c r="M43" s="1709"/>
      <c r="N43" s="1709"/>
      <c r="O43" s="1709"/>
      <c r="P43" s="1709"/>
      <c r="Q43" s="1709"/>
      <c r="R43" s="1709"/>
      <c r="S43" s="1709"/>
      <c r="T43" s="1709"/>
      <c r="U43" s="1709"/>
      <c r="V43" s="1709"/>
      <c r="W43" s="1709"/>
      <c r="X43" s="1710"/>
    </row>
    <row r="44" spans="1:29" s="141" customFormat="1" ht="18" customHeight="1" x14ac:dyDescent="0.2">
      <c r="A44" s="769">
        <v>2</v>
      </c>
      <c r="B44" s="1708"/>
      <c r="C44" s="1709"/>
      <c r="D44" s="1709"/>
      <c r="E44" s="1709"/>
      <c r="F44" s="1709"/>
      <c r="G44" s="1709"/>
      <c r="H44" s="1709"/>
      <c r="I44" s="1709"/>
      <c r="J44" s="1709"/>
      <c r="K44" s="1709"/>
      <c r="L44" s="1709"/>
      <c r="M44" s="1709"/>
      <c r="N44" s="1709"/>
      <c r="O44" s="1709"/>
      <c r="P44" s="1709"/>
      <c r="Q44" s="1709"/>
      <c r="R44" s="1709"/>
      <c r="S44" s="1709"/>
      <c r="T44" s="1709"/>
      <c r="U44" s="1709"/>
      <c r="V44" s="1709"/>
      <c r="W44" s="1709"/>
      <c r="X44" s="1710"/>
    </row>
    <row r="45" spans="1:29" s="141" customFormat="1" ht="18" customHeight="1" x14ac:dyDescent="0.2">
      <c r="A45" s="769">
        <v>3</v>
      </c>
      <c r="B45" s="1708"/>
      <c r="C45" s="1709"/>
      <c r="D45" s="1709"/>
      <c r="E45" s="1709"/>
      <c r="F45" s="1709"/>
      <c r="G45" s="1709"/>
      <c r="H45" s="1709"/>
      <c r="I45" s="1709"/>
      <c r="J45" s="1709"/>
      <c r="K45" s="1709"/>
      <c r="L45" s="1709"/>
      <c r="M45" s="1709"/>
      <c r="N45" s="1709"/>
      <c r="O45" s="1709"/>
      <c r="P45" s="1709"/>
      <c r="Q45" s="1709"/>
      <c r="R45" s="1709"/>
      <c r="S45" s="1709"/>
      <c r="T45" s="1709"/>
      <c r="U45" s="1709"/>
      <c r="V45" s="1709"/>
      <c r="W45" s="1709"/>
      <c r="X45" s="1710"/>
    </row>
    <row r="46" spans="1:29" s="54" customFormat="1" ht="20.25" customHeight="1" x14ac:dyDescent="0.2">
      <c r="A46" s="769">
        <v>4</v>
      </c>
      <c r="B46" s="1708"/>
      <c r="C46" s="1709"/>
      <c r="D46" s="1709"/>
      <c r="E46" s="1709"/>
      <c r="F46" s="1709"/>
      <c r="G46" s="1709"/>
      <c r="H46" s="1709"/>
      <c r="I46" s="1709"/>
      <c r="J46" s="1709"/>
      <c r="K46" s="1709"/>
      <c r="L46" s="1709"/>
      <c r="M46" s="1709"/>
      <c r="N46" s="1709"/>
      <c r="O46" s="1709"/>
      <c r="P46" s="1709"/>
      <c r="Q46" s="1709"/>
      <c r="R46" s="1709"/>
      <c r="S46" s="1709"/>
      <c r="T46" s="1709"/>
      <c r="U46" s="1709"/>
      <c r="V46" s="1709"/>
      <c r="W46" s="1709"/>
      <c r="X46" s="1710"/>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187" t="s">
        <v>333</v>
      </c>
      <c r="B1" s="1188"/>
      <c r="C1" s="1188"/>
      <c r="D1" s="1188"/>
      <c r="E1" s="1188"/>
      <c r="F1" s="1188"/>
      <c r="G1" s="1188"/>
      <c r="H1" s="1188"/>
      <c r="I1" s="1188"/>
      <c r="J1" s="1188"/>
      <c r="K1" s="1188"/>
      <c r="L1" s="1188"/>
      <c r="M1" s="1185"/>
      <c r="N1" s="1185"/>
      <c r="O1" s="1185"/>
      <c r="P1" s="1185"/>
      <c r="Q1" s="1185"/>
      <c r="R1" s="1185"/>
      <c r="S1" s="1185"/>
      <c r="T1" s="1185"/>
      <c r="U1" s="1185"/>
      <c r="V1" s="1185"/>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414"/>
      <c r="O3" s="1513"/>
      <c r="P3" s="785"/>
      <c r="Q3" s="237"/>
      <c r="R3" s="1342" t="s">
        <v>261</v>
      </c>
      <c r="S3" s="1343"/>
      <c r="T3" s="1343"/>
      <c r="U3" s="1343"/>
      <c r="V3" s="1343"/>
      <c r="W3" s="1343"/>
      <c r="X3" s="1344"/>
      <c r="Z3" s="174" t="s">
        <v>250</v>
      </c>
      <c r="AA3" s="132"/>
    </row>
    <row r="4" spans="1:29" s="57" customFormat="1" ht="15.75" x14ac:dyDescent="0.2">
      <c r="A4" s="1202" t="s">
        <v>231</v>
      </c>
      <c r="B4" s="1199"/>
      <c r="C4" s="1199"/>
      <c r="D4" s="1203">
        <f>M1</f>
        <v>0</v>
      </c>
      <c r="E4" s="1204"/>
      <c r="F4" s="1354" t="s">
        <v>28</v>
      </c>
      <c r="G4" s="1197"/>
      <c r="H4" s="208"/>
      <c r="I4" s="1347"/>
      <c r="J4" s="1347"/>
      <c r="K4" s="1347"/>
      <c r="L4" s="1347"/>
      <c r="M4" s="1347"/>
      <c r="N4" s="1348" t="s">
        <v>257</v>
      </c>
      <c r="O4" s="1348"/>
      <c r="P4" s="209"/>
      <c r="Q4" s="238"/>
      <c r="R4" s="1349" t="s">
        <v>236</v>
      </c>
      <c r="S4" s="1350"/>
      <c r="T4" s="1350"/>
      <c r="U4" s="1350"/>
      <c r="V4" s="1350"/>
      <c r="W4" s="1350"/>
      <c r="X4" s="1351"/>
      <c r="Z4" s="271" t="s">
        <v>308</v>
      </c>
      <c r="AA4" s="269" t="s">
        <v>309</v>
      </c>
      <c r="AB4" s="269" t="s">
        <v>310</v>
      </c>
    </row>
    <row r="5" spans="1:29" s="57" customFormat="1" ht="15.75" x14ac:dyDescent="0.2">
      <c r="A5" s="1200" t="s">
        <v>4</v>
      </c>
      <c r="B5" s="1201"/>
      <c r="C5" s="1201"/>
      <c r="D5" s="1221"/>
      <c r="E5" s="1193"/>
      <c r="F5" s="1228" t="s">
        <v>244</v>
      </c>
      <c r="G5" s="1196"/>
      <c r="H5" s="185"/>
      <c r="I5" s="1310"/>
      <c r="J5" s="1310"/>
      <c r="K5" s="1310"/>
      <c r="L5" s="1310"/>
      <c r="M5" s="1310"/>
      <c r="N5" s="1338" t="s">
        <v>22</v>
      </c>
      <c r="O5" s="1338"/>
      <c r="P5" s="58"/>
      <c r="Q5" s="238"/>
      <c r="R5" s="1339" t="s">
        <v>391</v>
      </c>
      <c r="S5" s="1340"/>
      <c r="T5" s="1340"/>
      <c r="U5" s="1340"/>
      <c r="V5" s="1340"/>
      <c r="W5" s="1340"/>
      <c r="X5" s="1341"/>
      <c r="Z5" s="172" t="s">
        <v>31</v>
      </c>
      <c r="AA5" s="176">
        <f>SUMIF($G$16:$G$40,"STATE",$L$16:$L$40)</f>
        <v>551.05000000000007</v>
      </c>
      <c r="AB5" s="176">
        <f>SUMIF($G$16:$G$40,"STATE",$T$16:$T$40)</f>
        <v>0</v>
      </c>
    </row>
    <row r="6" spans="1:29" s="57" customFormat="1" ht="16.5" thickBot="1" x14ac:dyDescent="0.25">
      <c r="A6" s="1200" t="s">
        <v>12</v>
      </c>
      <c r="B6" s="1201"/>
      <c r="C6" s="1201"/>
      <c r="D6" s="1158"/>
      <c r="E6" s="1193"/>
      <c r="F6" s="1228" t="s">
        <v>20</v>
      </c>
      <c r="G6" s="1196"/>
      <c r="H6" s="185"/>
      <c r="I6" s="1310" t="s">
        <v>11</v>
      </c>
      <c r="J6" s="1310"/>
      <c r="K6" s="1310"/>
      <c r="L6" s="1310"/>
      <c r="M6" s="1310"/>
      <c r="N6" s="1334" t="s">
        <v>233</v>
      </c>
      <c r="O6" s="1334"/>
      <c r="P6" s="212">
        <f>P4+P5*10</f>
        <v>0</v>
      </c>
      <c r="Q6" s="238"/>
      <c r="R6" s="1335" t="s">
        <v>573</v>
      </c>
      <c r="S6" s="1336"/>
      <c r="T6" s="1336"/>
      <c r="U6" s="1336"/>
      <c r="V6" s="1336"/>
      <c r="W6" s="1336"/>
      <c r="X6" s="1337"/>
      <c r="Z6" s="172" t="s">
        <v>32</v>
      </c>
      <c r="AA6" s="176">
        <f>SUMIF($G$16:$G$40,"COUNTY",$L$16:$L$40)</f>
        <v>369.9500000000001</v>
      </c>
      <c r="AB6" s="176">
        <f>SUMIF($G$16:$G$40,"COUNTY",$T$16:$T$40)</f>
        <v>0</v>
      </c>
    </row>
    <row r="7" spans="1:29" s="57" customFormat="1" ht="16.5" thickBot="1" x14ac:dyDescent="0.25">
      <c r="A7" s="1200" t="s">
        <v>5</v>
      </c>
      <c r="B7" s="1201"/>
      <c r="C7" s="1201"/>
      <c r="D7" s="1158"/>
      <c r="E7" s="1193"/>
      <c r="F7" s="1227" t="s">
        <v>21</v>
      </c>
      <c r="G7" s="1182"/>
      <c r="H7" s="241"/>
      <c r="I7" s="1321"/>
      <c r="J7" s="1321"/>
      <c r="K7" s="1321"/>
      <c r="L7" s="1321"/>
      <c r="M7" s="1322"/>
      <c r="N7" s="235"/>
      <c r="O7" s="242"/>
      <c r="P7" s="236"/>
      <c r="Q7" s="238"/>
      <c r="R7" s="1323" t="s">
        <v>332</v>
      </c>
      <c r="S7" s="1324"/>
      <c r="T7" s="1324"/>
      <c r="U7" s="1324"/>
      <c r="V7" s="1324"/>
      <c r="W7" s="1324"/>
      <c r="X7" s="1325"/>
      <c r="Z7" s="172" t="s">
        <v>52</v>
      </c>
      <c r="AA7" s="176">
        <f>SUMIF($G$16:$G$40,"CITY",$L$16:$L$40)</f>
        <v>0</v>
      </c>
      <c r="AB7" s="176">
        <f>SUMIF($G$16:$G$40,"CITY",$T$16:$T$40)</f>
        <v>0</v>
      </c>
    </row>
    <row r="8" spans="1:29" s="57" customFormat="1" ht="15.75" customHeight="1" x14ac:dyDescent="0.2">
      <c r="A8" s="1326" t="s">
        <v>444</v>
      </c>
      <c r="B8" s="1327"/>
      <c r="C8" s="1327"/>
      <c r="D8" s="1328" t="s">
        <v>436</v>
      </c>
      <c r="E8" s="1372"/>
      <c r="F8" s="1202" t="s">
        <v>253</v>
      </c>
      <c r="G8" s="1199"/>
      <c r="H8" s="187"/>
      <c r="I8" s="1332"/>
      <c r="J8" s="1332"/>
      <c r="K8" s="1332"/>
      <c r="L8" s="1332"/>
      <c r="M8" s="1332"/>
      <c r="N8" s="1373" t="s">
        <v>257</v>
      </c>
      <c r="O8" s="1373"/>
      <c r="P8" s="55">
        <v>0</v>
      </c>
      <c r="Q8" s="239"/>
      <c r="R8" s="1314" t="s">
        <v>303</v>
      </c>
      <c r="S8" s="1266"/>
      <c r="T8" s="1266"/>
      <c r="U8" s="1266"/>
      <c r="V8" s="1266"/>
      <c r="W8" s="1266"/>
      <c r="X8" s="1315"/>
      <c r="Z8" s="172" t="s">
        <v>230</v>
      </c>
      <c r="AA8" s="176">
        <f>SUMIF($G$16:$G$40,"COURT",$L$16:$L$40)</f>
        <v>0</v>
      </c>
      <c r="AB8" s="176">
        <f>SUMIF($G$16:$G$40,"COURT",$T$16:$T$40)</f>
        <v>0</v>
      </c>
    </row>
    <row r="9" spans="1:29" s="57" customFormat="1" ht="18" customHeight="1" thickBot="1" x14ac:dyDescent="0.25">
      <c r="A9" s="1318" t="s">
        <v>85</v>
      </c>
      <c r="B9" s="1319"/>
      <c r="C9" s="1319"/>
      <c r="D9" s="1189" t="str">
        <f>IF(D8="Yes", "No", "Yes")</f>
        <v>No</v>
      </c>
      <c r="E9" s="1190"/>
      <c r="F9" s="1228" t="s">
        <v>244</v>
      </c>
      <c r="G9" s="1196"/>
      <c r="H9" s="185"/>
      <c r="I9" s="1310"/>
      <c r="J9" s="1310"/>
      <c r="K9" s="1310"/>
      <c r="L9" s="1310"/>
      <c r="M9" s="1310"/>
      <c r="N9" s="1338" t="s">
        <v>22</v>
      </c>
      <c r="O9" s="1338"/>
      <c r="P9" s="58"/>
      <c r="Q9" s="239"/>
      <c r="R9" s="1316"/>
      <c r="S9" s="1269"/>
      <c r="T9" s="1269"/>
      <c r="U9" s="1269"/>
      <c r="V9" s="1269"/>
      <c r="W9" s="1269"/>
      <c r="X9" s="1317"/>
      <c r="Z9" s="153" t="s">
        <v>456</v>
      </c>
      <c r="AA9" s="176">
        <f>SUMIF($G$16:$G$40,"ST or CNTY",$L$16:$L$40)</f>
        <v>49</v>
      </c>
      <c r="AB9" s="176">
        <f>SUMIF($G$16:$G$40,"ST or CNTY",$T$16:$T$40)</f>
        <v>0</v>
      </c>
    </row>
    <row r="10" spans="1:29" s="57" customFormat="1" ht="16.5" customHeight="1" thickBot="1" x14ac:dyDescent="0.25">
      <c r="A10" s="1152" t="s">
        <v>276</v>
      </c>
      <c r="B10" s="1153"/>
      <c r="C10" s="1153"/>
      <c r="D10" s="1148">
        <f>P6+P10+I16+I17</f>
        <v>200</v>
      </c>
      <c r="E10" s="1149"/>
      <c r="F10" s="1228" t="s">
        <v>20</v>
      </c>
      <c r="G10" s="1196"/>
      <c r="H10" s="185"/>
      <c r="I10" s="1310"/>
      <c r="J10" s="1310"/>
      <c r="K10" s="1310"/>
      <c r="L10" s="1310"/>
      <c r="M10" s="1310"/>
      <c r="N10" s="1334" t="s">
        <v>233</v>
      </c>
      <c r="O10" s="1334"/>
      <c r="P10" s="212">
        <f>P8+P9*10</f>
        <v>0</v>
      </c>
      <c r="Q10" s="240"/>
      <c r="R10" s="1311" t="s">
        <v>239</v>
      </c>
      <c r="S10" s="1312"/>
      <c r="T10" s="1312"/>
      <c r="U10" s="1312"/>
      <c r="V10" s="1312"/>
      <c r="W10" s="1312"/>
      <c r="X10" s="1313"/>
      <c r="Z10" s="683" t="s">
        <v>246</v>
      </c>
      <c r="AA10" s="148">
        <f>SUM(AA5:AA9)</f>
        <v>970.00000000000023</v>
      </c>
      <c r="AB10" s="148">
        <f>SUM(AB5:AB9)</f>
        <v>0</v>
      </c>
    </row>
    <row r="11" spans="1:29" s="57" customFormat="1" ht="16.5" customHeight="1" thickBot="1" x14ac:dyDescent="0.25">
      <c r="A11" s="1150" t="s">
        <v>277</v>
      </c>
      <c r="B11" s="1151"/>
      <c r="C11" s="1151"/>
      <c r="D11" s="1146">
        <f>ROUNDUP(D10/10,0)</f>
        <v>20</v>
      </c>
      <c r="E11" s="1147"/>
      <c r="F11" s="1294" t="s">
        <v>21</v>
      </c>
      <c r="G11" s="1174"/>
      <c r="H11" s="186"/>
      <c r="I11" s="1295"/>
      <c r="J11" s="1295"/>
      <c r="K11" s="1295"/>
      <c r="L11" s="1295"/>
      <c r="M11" s="1690"/>
      <c r="N11" s="1416" t="s">
        <v>568</v>
      </c>
      <c r="O11" s="1448"/>
      <c r="P11" s="780">
        <f>'1-DUI (Reduce Base)'!P11</f>
        <v>7</v>
      </c>
      <c r="Q11" s="240"/>
      <c r="R11" s="1296" t="s">
        <v>430</v>
      </c>
      <c r="S11" s="1297"/>
      <c r="T11" s="1297"/>
      <c r="U11" s="1297"/>
      <c r="V11" s="1297"/>
      <c r="W11" s="1297"/>
      <c r="X11" s="1298"/>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299" t="s">
        <v>297</v>
      </c>
      <c r="J13" s="1300"/>
      <c r="K13" s="1300"/>
      <c r="L13" s="1301"/>
      <c r="M13" s="110"/>
      <c r="N13" s="1302" t="s">
        <v>229</v>
      </c>
      <c r="O13" s="1303"/>
      <c r="P13" s="1304"/>
      <c r="Q13" s="111"/>
      <c r="R13" s="1305" t="s">
        <v>295</v>
      </c>
      <c r="S13" s="1306"/>
      <c r="T13" s="1307"/>
      <c r="U13" s="226"/>
      <c r="V13" s="158"/>
      <c r="W13" s="158"/>
      <c r="X13" s="159"/>
      <c r="Y13" s="108"/>
      <c r="Z13" s="108"/>
      <c r="AA13" s="108"/>
      <c r="AB13" s="108"/>
      <c r="AC13" s="108"/>
    </row>
    <row r="14" spans="1:29" ht="44.25" customHeight="1" thickBot="1" x14ac:dyDescent="0.25">
      <c r="A14" s="686">
        <v>0.02</v>
      </c>
      <c r="B14" s="686" t="s">
        <v>58</v>
      </c>
      <c r="C14" s="1160" t="s">
        <v>226</v>
      </c>
      <c r="D14" s="1161"/>
      <c r="E14" s="1161"/>
      <c r="F14" s="1162"/>
      <c r="G14" s="688" t="s">
        <v>249</v>
      </c>
      <c r="H14" s="114" t="s">
        <v>0</v>
      </c>
      <c r="I14" s="684" t="s">
        <v>298</v>
      </c>
      <c r="J14" s="692" t="s">
        <v>252</v>
      </c>
      <c r="K14" s="1287" t="s">
        <v>6</v>
      </c>
      <c r="L14" s="691" t="s">
        <v>299</v>
      </c>
      <c r="M14" s="67"/>
      <c r="N14" s="1256" t="s">
        <v>260</v>
      </c>
      <c r="O14" s="1257"/>
      <c r="P14" s="692" t="s">
        <v>248</v>
      </c>
      <c r="Q14" s="121"/>
      <c r="R14" s="690" t="s">
        <v>428</v>
      </c>
      <c r="S14" s="1287" t="s">
        <v>6</v>
      </c>
      <c r="T14" s="691" t="s">
        <v>299</v>
      </c>
      <c r="U14" s="228"/>
      <c r="V14" s="682" t="s">
        <v>256</v>
      </c>
      <c r="W14" s="1289" t="s">
        <v>61</v>
      </c>
      <c r="X14" s="1291" t="s">
        <v>384</v>
      </c>
    </row>
    <row r="15" spans="1:29" ht="30.75" customHeight="1" thickBot="1" x14ac:dyDescent="0.25">
      <c r="A15" s="687"/>
      <c r="B15" s="687"/>
      <c r="C15" s="1163"/>
      <c r="D15" s="1164"/>
      <c r="E15" s="1164"/>
      <c r="F15" s="1165"/>
      <c r="G15" s="689"/>
      <c r="H15" s="689"/>
      <c r="I15" s="685"/>
      <c r="J15" s="161">
        <f>J34/I34</f>
        <v>2.3466666666666667</v>
      </c>
      <c r="K15" s="1288"/>
      <c r="L15" s="244" t="s">
        <v>42</v>
      </c>
      <c r="M15" s="68"/>
      <c r="N15" s="1254"/>
      <c r="O15" s="1255"/>
      <c r="P15" s="245" t="s">
        <v>43</v>
      </c>
      <c r="Q15" s="121"/>
      <c r="R15" s="246">
        <f>R34/I34</f>
        <v>0</v>
      </c>
      <c r="S15" s="1288"/>
      <c r="T15" s="244" t="s">
        <v>44</v>
      </c>
      <c r="U15" s="228"/>
      <c r="V15" s="298" t="s">
        <v>300</v>
      </c>
      <c r="W15" s="1290"/>
      <c r="X15" s="1292"/>
    </row>
    <row r="16" spans="1:29" s="74" customFormat="1" ht="15.75" customHeight="1" thickTop="1" x14ac:dyDescent="0.2">
      <c r="A16" s="69" t="s">
        <v>8</v>
      </c>
      <c r="B16" s="1567" t="s">
        <v>241</v>
      </c>
      <c r="C16" s="1285" t="s">
        <v>465</v>
      </c>
      <c r="D16" s="1226"/>
      <c r="E16" s="1226"/>
      <c r="F16" s="1226"/>
      <c r="G16" s="695" t="s">
        <v>456</v>
      </c>
      <c r="H16" s="71" t="s">
        <v>329</v>
      </c>
      <c r="I16" s="204">
        <v>50</v>
      </c>
      <c r="J16" s="160">
        <f>I16</f>
        <v>50</v>
      </c>
      <c r="K16" s="162">
        <f t="shared" ref="K16:K33" si="0">IF(A16="Y", I16*2%,0)</f>
        <v>1</v>
      </c>
      <c r="L16" s="198">
        <f>I16-K16</f>
        <v>49</v>
      </c>
      <c r="M16" s="164"/>
      <c r="N16" s="1271"/>
      <c r="O16" s="1272"/>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178"/>
      <c r="C17" s="1285" t="s">
        <v>420</v>
      </c>
      <c r="D17" s="1226"/>
      <c r="E17" s="1226"/>
      <c r="F17" s="1226"/>
      <c r="G17" s="694" t="s">
        <v>32</v>
      </c>
      <c r="H17" s="77" t="s">
        <v>71</v>
      </c>
      <c r="I17" s="204">
        <v>150</v>
      </c>
      <c r="J17" s="155">
        <f>I17</f>
        <v>150</v>
      </c>
      <c r="K17" s="162">
        <f t="shared" si="0"/>
        <v>3</v>
      </c>
      <c r="L17" s="167">
        <f t="shared" ref="L17:L39" si="2">I17-K17</f>
        <v>147</v>
      </c>
      <c r="M17" s="164"/>
      <c r="N17" s="1183"/>
      <c r="O17" s="1184"/>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178"/>
      <c r="C18" s="1285" t="s">
        <v>496</v>
      </c>
      <c r="D18" s="1226"/>
      <c r="E18" s="1226"/>
      <c r="F18" s="1226"/>
      <c r="G18" s="694" t="s">
        <v>32</v>
      </c>
      <c r="H18" s="77"/>
      <c r="I18" s="155">
        <v>50</v>
      </c>
      <c r="J18" s="155" t="e">
        <f>((SUM(I15:I19)*J14)-SUM(J15:J17))*D7</f>
        <v>#VALUE!</v>
      </c>
      <c r="K18" s="162">
        <f t="shared" ref="K18" si="4">IF(A18="Y", I18*2%,0)</f>
        <v>1</v>
      </c>
      <c r="L18" s="167">
        <f t="shared" ref="L18" si="5">I18-K18</f>
        <v>49</v>
      </c>
      <c r="M18" s="164"/>
      <c r="N18" s="1183"/>
      <c r="O18" s="1184"/>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178"/>
      <c r="C19" s="1172" t="s">
        <v>330</v>
      </c>
      <c r="D19" s="1172"/>
      <c r="E19" s="1172"/>
      <c r="F19" s="1172"/>
      <c r="G19" s="694" t="s">
        <v>31</v>
      </c>
      <c r="H19" s="77" t="s">
        <v>10</v>
      </c>
      <c r="I19" s="155">
        <f>($D$10-SUM($I$16:$I$18))*75%</f>
        <v>-37.5</v>
      </c>
      <c r="J19" s="155" t="e">
        <f>((SUM(I16:I20)*J15)-SUM(J16:J18))*D8</f>
        <v>#VALUE!</v>
      </c>
      <c r="K19" s="162">
        <f t="shared" si="0"/>
        <v>-0.75</v>
      </c>
      <c r="L19" s="167">
        <f t="shared" si="2"/>
        <v>-36.75</v>
      </c>
      <c r="M19" s="164"/>
      <c r="N19" s="1183"/>
      <c r="O19" s="1184"/>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179"/>
      <c r="C20" s="1172" t="s">
        <v>331</v>
      </c>
      <c r="D20" s="1172"/>
      <c r="E20" s="1172"/>
      <c r="F20" s="1172"/>
      <c r="G20" s="701" t="str">
        <f>IF(D8="Yes","COUNTY","CITY")</f>
        <v>COUNTY</v>
      </c>
      <c r="H20" s="77" t="s">
        <v>24</v>
      </c>
      <c r="I20" s="155">
        <f>($D$10-SUM($I$16:$I$18))*25%</f>
        <v>-12.5</v>
      </c>
      <c r="J20" s="155" t="e">
        <f>((SUM(I16:I20)*J15)-SUM(J16:J18))*D9</f>
        <v>#VALUE!</v>
      </c>
      <c r="K20" s="162">
        <f t="shared" si="0"/>
        <v>-0.25</v>
      </c>
      <c r="L20" s="167">
        <f t="shared" si="2"/>
        <v>-12.25</v>
      </c>
      <c r="M20" s="164"/>
      <c r="N20" s="1183"/>
      <c r="O20" s="1184"/>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172" t="s">
        <v>546</v>
      </c>
      <c r="D21" s="1172"/>
      <c r="E21" s="1172"/>
      <c r="F21" s="1172"/>
      <c r="G21" s="694" t="s">
        <v>31</v>
      </c>
      <c r="H21" s="77" t="s">
        <v>26</v>
      </c>
      <c r="I21" s="155">
        <f>$D$11*B21</f>
        <v>140</v>
      </c>
      <c r="J21" s="155">
        <f>$J$15*I21</f>
        <v>328.53333333333336</v>
      </c>
      <c r="K21" s="162">
        <f t="shared" si="0"/>
        <v>2.8000000000000003</v>
      </c>
      <c r="L21" s="167">
        <f t="shared" si="2"/>
        <v>137.19999999999999</v>
      </c>
      <c r="M21" s="164"/>
      <c r="N21" s="1183"/>
      <c r="O21" s="1184"/>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172" t="s">
        <v>547</v>
      </c>
      <c r="D22" s="1172"/>
      <c r="E22" s="1172"/>
      <c r="F22" s="1172"/>
      <c r="G22" s="694" t="s">
        <v>32</v>
      </c>
      <c r="H22" s="77" t="s">
        <v>27</v>
      </c>
      <c r="I22" s="155">
        <f t="shared" ref="I22:I32" si="9">$D$11*B22</f>
        <v>60</v>
      </c>
      <c r="J22" s="155">
        <f t="shared" ref="J22:J33" si="10">$J$15*I22</f>
        <v>140.80000000000001</v>
      </c>
      <c r="K22" s="162">
        <f t="shared" si="0"/>
        <v>1.2</v>
      </c>
      <c r="L22" s="167">
        <f t="shared" si="2"/>
        <v>58.8</v>
      </c>
      <c r="M22" s="164"/>
      <c r="N22" s="1183"/>
      <c r="O22" s="1184"/>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183" t="s">
        <v>216</v>
      </c>
      <c r="D23" s="1240"/>
      <c r="E23" s="1240"/>
      <c r="F23" s="1241"/>
      <c r="G23" s="694" t="s">
        <v>32</v>
      </c>
      <c r="H23" s="77" t="s">
        <v>55</v>
      </c>
      <c r="I23" s="155">
        <f t="shared" si="9"/>
        <v>20</v>
      </c>
      <c r="J23" s="155">
        <f t="shared" si="10"/>
        <v>46.933333333333337</v>
      </c>
      <c r="K23" s="162">
        <f t="shared" si="0"/>
        <v>0.4</v>
      </c>
      <c r="L23" s="167">
        <f t="shared" si="2"/>
        <v>19.600000000000001</v>
      </c>
      <c r="M23" s="164"/>
      <c r="N23" s="1183"/>
      <c r="O23" s="1184"/>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183" t="s">
        <v>466</v>
      </c>
      <c r="D24" s="1240"/>
      <c r="E24" s="1240"/>
      <c r="F24" s="1241"/>
      <c r="G24" s="694" t="s">
        <v>31</v>
      </c>
      <c r="H24" s="77" t="s">
        <v>72</v>
      </c>
      <c r="I24" s="155">
        <f t="shared" si="9"/>
        <v>80</v>
      </c>
      <c r="J24" s="155">
        <f t="shared" si="10"/>
        <v>187.73333333333335</v>
      </c>
      <c r="K24" s="162">
        <f t="shared" si="0"/>
        <v>1.6</v>
      </c>
      <c r="L24" s="167">
        <f t="shared" si="2"/>
        <v>78.400000000000006</v>
      </c>
      <c r="M24" s="164"/>
      <c r="N24" s="1183"/>
      <c r="O24" s="1184"/>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172" t="s">
        <v>217</v>
      </c>
      <c r="D25" s="1172"/>
      <c r="E25" s="1279" t="str">
        <f>IF(SUM(B25:B29)=P11,"GC 76000 PA ($" &amp;P11 &amp; " for every 10) breakdown per local board of supervisor resolution (BOS).","ERROR! GC 76000 PA total is not $" &amp;P11&amp; ". Check Court's board resolution.")</f>
        <v>ERROR! GC 76000 PA total is not $7. Check Court's board resolution.</v>
      </c>
      <c r="F25" s="1280"/>
      <c r="G25" s="694" t="s">
        <v>32</v>
      </c>
      <c r="H25" s="77" t="s">
        <v>64</v>
      </c>
      <c r="I25" s="155">
        <f t="shared" si="9"/>
        <v>0</v>
      </c>
      <c r="J25" s="155">
        <f t="shared" si="10"/>
        <v>0</v>
      </c>
      <c r="K25" s="162">
        <f t="shared" si="0"/>
        <v>0</v>
      </c>
      <c r="L25" s="167">
        <f t="shared" si="2"/>
        <v>0</v>
      </c>
      <c r="M25" s="164"/>
      <c r="N25" s="1183"/>
      <c r="O25" s="1184"/>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172" t="s">
        <v>218</v>
      </c>
      <c r="D26" s="1172"/>
      <c r="E26" s="1281"/>
      <c r="F26" s="1282"/>
      <c r="G26" s="694" t="s">
        <v>32</v>
      </c>
      <c r="H26" s="77" t="s">
        <v>35</v>
      </c>
      <c r="I26" s="155">
        <f t="shared" si="9"/>
        <v>20</v>
      </c>
      <c r="J26" s="155">
        <f t="shared" si="10"/>
        <v>46.933333333333337</v>
      </c>
      <c r="K26" s="162">
        <f t="shared" si="0"/>
        <v>0.4</v>
      </c>
      <c r="L26" s="167">
        <f t="shared" si="2"/>
        <v>19.600000000000001</v>
      </c>
      <c r="M26" s="164"/>
      <c r="N26" s="1183"/>
      <c r="O26" s="1184"/>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172" t="s">
        <v>219</v>
      </c>
      <c r="D27" s="1172"/>
      <c r="E27" s="1281"/>
      <c r="F27" s="1282"/>
      <c r="G27" s="694" t="s">
        <v>32</v>
      </c>
      <c r="H27" s="77" t="s">
        <v>65</v>
      </c>
      <c r="I27" s="155">
        <f t="shared" si="9"/>
        <v>20</v>
      </c>
      <c r="J27" s="155">
        <f t="shared" si="10"/>
        <v>46.933333333333337</v>
      </c>
      <c r="K27" s="162">
        <f t="shared" si="0"/>
        <v>0.4</v>
      </c>
      <c r="L27" s="167">
        <f t="shared" si="2"/>
        <v>19.600000000000001</v>
      </c>
      <c r="M27" s="164"/>
      <c r="N27" s="1183"/>
      <c r="O27" s="1184"/>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172" t="s">
        <v>401</v>
      </c>
      <c r="D28" s="1172"/>
      <c r="E28" s="1281"/>
      <c r="F28" s="1282"/>
      <c r="G28" s="694" t="s">
        <v>32</v>
      </c>
      <c r="H28" s="77" t="s">
        <v>65</v>
      </c>
      <c r="I28" s="155">
        <f>$D$11*B28</f>
        <v>10</v>
      </c>
      <c r="J28" s="155">
        <f>$J$15*I28</f>
        <v>23.466666666666669</v>
      </c>
      <c r="K28" s="162">
        <f>IF(A28="Y", I28*2%,0)</f>
        <v>0.2</v>
      </c>
      <c r="L28" s="167">
        <f>I28-K28</f>
        <v>9.8000000000000007</v>
      </c>
      <c r="M28" s="164"/>
      <c r="N28" s="1183"/>
      <c r="O28" s="1184"/>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172" t="s">
        <v>254</v>
      </c>
      <c r="D29" s="1172"/>
      <c r="E29" s="1283"/>
      <c r="F29" s="1284"/>
      <c r="G29" s="694" t="s">
        <v>32</v>
      </c>
      <c r="H29" s="77"/>
      <c r="I29" s="155">
        <f t="shared" si="9"/>
        <v>20</v>
      </c>
      <c r="J29" s="155">
        <f t="shared" si="10"/>
        <v>46.933333333333337</v>
      </c>
      <c r="K29" s="162">
        <f t="shared" si="0"/>
        <v>0.4</v>
      </c>
      <c r="L29" s="167">
        <f t="shared" si="2"/>
        <v>19.600000000000001</v>
      </c>
      <c r="M29" s="164"/>
      <c r="N29" s="1183"/>
      <c r="O29" s="1184"/>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154" t="s">
        <v>286</v>
      </c>
      <c r="D30" s="1155"/>
      <c r="E30" s="1155"/>
      <c r="F30" s="1232"/>
      <c r="G30" s="702" t="s">
        <v>32</v>
      </c>
      <c r="H30" s="84" t="s">
        <v>36</v>
      </c>
      <c r="I30" s="155">
        <f t="shared" si="9"/>
        <v>40</v>
      </c>
      <c r="J30" s="155">
        <f t="shared" si="10"/>
        <v>93.866666666666674</v>
      </c>
      <c r="K30" s="162">
        <f t="shared" si="0"/>
        <v>0.8</v>
      </c>
      <c r="L30" s="167">
        <f t="shared" si="2"/>
        <v>39.200000000000003</v>
      </c>
      <c r="M30" s="164"/>
      <c r="N30" s="1183"/>
      <c r="O30" s="1184"/>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154" t="s">
        <v>555</v>
      </c>
      <c r="D31" s="1155"/>
      <c r="E31" s="1232"/>
      <c r="F31" s="1088" t="s">
        <v>281</v>
      </c>
      <c r="G31" s="702" t="s">
        <v>31</v>
      </c>
      <c r="H31" s="84" t="s">
        <v>37</v>
      </c>
      <c r="I31" s="155">
        <f t="shared" si="9"/>
        <v>40</v>
      </c>
      <c r="J31" s="155">
        <f t="shared" si="10"/>
        <v>93.866666666666674</v>
      </c>
      <c r="K31" s="162">
        <f t="shared" si="0"/>
        <v>0.8</v>
      </c>
      <c r="L31" s="167">
        <f t="shared" si="2"/>
        <v>39.200000000000003</v>
      </c>
      <c r="M31" s="164"/>
      <c r="N31" s="1183"/>
      <c r="O31" s="1184"/>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154" t="s">
        <v>556</v>
      </c>
      <c r="D32" s="1155"/>
      <c r="E32" s="1232"/>
      <c r="F32" s="1089"/>
      <c r="G32" s="702" t="s">
        <v>31</v>
      </c>
      <c r="H32" s="84" t="s">
        <v>197</v>
      </c>
      <c r="I32" s="155">
        <f t="shared" si="9"/>
        <v>60</v>
      </c>
      <c r="J32" s="155">
        <f t="shared" si="10"/>
        <v>140.80000000000001</v>
      </c>
      <c r="K32" s="162">
        <f t="shared" si="0"/>
        <v>1.2</v>
      </c>
      <c r="L32" s="167">
        <f t="shared" si="2"/>
        <v>58.8</v>
      </c>
      <c r="M32" s="164"/>
      <c r="N32" s="1183"/>
      <c r="O32" s="1184"/>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154" t="s">
        <v>220</v>
      </c>
      <c r="D33" s="1155"/>
      <c r="E33" s="1155"/>
      <c r="F33" s="1232"/>
      <c r="G33" s="702" t="s">
        <v>31</v>
      </c>
      <c r="H33" s="84" t="s">
        <v>10</v>
      </c>
      <c r="I33" s="155">
        <f>$D$10*20%</f>
        <v>40</v>
      </c>
      <c r="J33" s="155">
        <f t="shared" si="10"/>
        <v>93.866666666666674</v>
      </c>
      <c r="K33" s="162">
        <f t="shared" si="0"/>
        <v>0</v>
      </c>
      <c r="L33" s="167">
        <f t="shared" si="2"/>
        <v>40</v>
      </c>
      <c r="M33" s="164"/>
      <c r="N33" s="1183"/>
      <c r="O33" s="1184"/>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229" t="s">
        <v>221</v>
      </c>
      <c r="D34" s="1230"/>
      <c r="E34" s="1230"/>
      <c r="F34" s="1231"/>
      <c r="G34" s="703"/>
      <c r="H34" s="88"/>
      <c r="I34" s="157">
        <f>SUM(I16:I33)</f>
        <v>750</v>
      </c>
      <c r="J34" s="157">
        <f>J42-SUM(J35:J39)</f>
        <v>1760</v>
      </c>
      <c r="K34" s="162"/>
      <c r="L34" s="168">
        <f>SUM(L16:L33)</f>
        <v>735.80000000000007</v>
      </c>
      <c r="M34" s="165"/>
      <c r="N34" s="1154"/>
      <c r="O34" s="1239"/>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154" t="s">
        <v>419</v>
      </c>
      <c r="D35" s="1155"/>
      <c r="E35" s="1155"/>
      <c r="F35" s="1232"/>
      <c r="G35" s="702" t="s">
        <v>31</v>
      </c>
      <c r="H35" s="91"/>
      <c r="I35" s="204">
        <v>40</v>
      </c>
      <c r="J35" s="155"/>
      <c r="K35" s="162">
        <f>IF(A35="Y", I35*2%,0)</f>
        <v>0</v>
      </c>
      <c r="L35" s="167">
        <f>I35-K35</f>
        <v>40</v>
      </c>
      <c r="M35" s="164"/>
      <c r="N35" s="1183"/>
      <c r="O35" s="1184"/>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233" t="s">
        <v>259</v>
      </c>
      <c r="D36" s="1234"/>
      <c r="E36" s="1234"/>
      <c r="F36" s="1235"/>
      <c r="G36" s="704" t="s">
        <v>31</v>
      </c>
      <c r="H36" s="92" t="s">
        <v>197</v>
      </c>
      <c r="I36" s="204">
        <v>30</v>
      </c>
      <c r="J36" s="155">
        <f t="shared" ref="J36:J39" si="11">I36</f>
        <v>30</v>
      </c>
      <c r="K36" s="162">
        <f t="shared" ref="K36:K39" si="12">IF(A36="Y", I36*2%,0)</f>
        <v>0</v>
      </c>
      <c r="L36" s="167">
        <f>I36-K36</f>
        <v>30</v>
      </c>
      <c r="M36" s="164"/>
      <c r="N36" s="1183"/>
      <c r="O36" s="1184"/>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1694" t="s">
        <v>560</v>
      </c>
      <c r="D37" s="1694"/>
      <c r="E37" s="1694"/>
      <c r="F37" s="1694"/>
      <c r="G37" s="704" t="s">
        <v>31</v>
      </c>
      <c r="H37" s="92"/>
      <c r="I37" s="204">
        <v>150</v>
      </c>
      <c r="J37" s="155">
        <f t="shared" ref="J37:J38" si="14">I37</f>
        <v>150</v>
      </c>
      <c r="K37" s="162">
        <f t="shared" ref="K37:K38" si="15">IF(A37="Y", I37*2%,0)</f>
        <v>3</v>
      </c>
      <c r="L37" s="167">
        <f t="shared" ref="L37:L38" si="16">I37-K37</f>
        <v>147</v>
      </c>
      <c r="M37" s="164"/>
      <c r="N37" s="1183"/>
      <c r="O37" s="1184"/>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233" t="s">
        <v>454</v>
      </c>
      <c r="D38" s="1234"/>
      <c r="E38" s="1234"/>
      <c r="F38" s="1235"/>
      <c r="G38" s="694" t="s">
        <v>32</v>
      </c>
      <c r="H38" s="92"/>
      <c r="I38" s="204"/>
      <c r="J38" s="155">
        <f t="shared" si="14"/>
        <v>0</v>
      </c>
      <c r="K38" s="162">
        <f t="shared" si="15"/>
        <v>0</v>
      </c>
      <c r="L38" s="167">
        <f t="shared" si="16"/>
        <v>0</v>
      </c>
      <c r="M38" s="164"/>
      <c r="N38" s="1183"/>
      <c r="O38" s="1184"/>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154" t="s">
        <v>520</v>
      </c>
      <c r="D39" s="1155"/>
      <c r="E39" s="1155"/>
      <c r="F39" s="1232"/>
      <c r="G39" s="704" t="s">
        <v>230</v>
      </c>
      <c r="H39" s="92" t="s">
        <v>82</v>
      </c>
      <c r="I39" s="204"/>
      <c r="J39" s="155">
        <f t="shared" si="11"/>
        <v>0</v>
      </c>
      <c r="K39" s="162">
        <f t="shared" si="12"/>
        <v>0</v>
      </c>
      <c r="L39" s="167">
        <f t="shared" si="2"/>
        <v>0</v>
      </c>
      <c r="M39" s="164"/>
      <c r="N39" s="1183"/>
      <c r="O39" s="1184"/>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183" t="s">
        <v>492</v>
      </c>
      <c r="D40" s="1240"/>
      <c r="E40" s="1240"/>
      <c r="F40" s="1241"/>
      <c r="G40" s="705" t="s">
        <v>31</v>
      </c>
      <c r="H40" s="96" t="s">
        <v>41</v>
      </c>
      <c r="I40" s="97"/>
      <c r="J40" s="104"/>
      <c r="K40" s="163"/>
      <c r="L40" s="169">
        <f>K41</f>
        <v>17.200000000000003</v>
      </c>
      <c r="M40" s="164"/>
      <c r="N40" s="1183"/>
      <c r="O40" s="1184"/>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276" t="s">
        <v>61</v>
      </c>
      <c r="B43" s="1276"/>
      <c r="C43" s="1276"/>
      <c r="D43" s="210"/>
      <c r="E43" s="133"/>
      <c r="F43" s="133"/>
      <c r="J43" s="134"/>
      <c r="L43" s="135"/>
      <c r="M43" s="136"/>
      <c r="Q43" s="137"/>
      <c r="R43" s="137"/>
      <c r="S43" s="137"/>
      <c r="T43" s="137"/>
      <c r="U43" s="137"/>
      <c r="V43" s="138"/>
      <c r="W43" s="138"/>
      <c r="X43" s="139"/>
    </row>
    <row r="44" spans="1:29" s="141" customFormat="1" ht="18" customHeight="1" x14ac:dyDescent="0.2">
      <c r="A44" s="769">
        <v>1</v>
      </c>
      <c r="B44" s="1708"/>
      <c r="C44" s="1709"/>
      <c r="D44" s="1709"/>
      <c r="E44" s="1709"/>
      <c r="F44" s="1709"/>
      <c r="G44" s="1709"/>
      <c r="H44" s="1709"/>
      <c r="I44" s="1709"/>
      <c r="J44" s="1709"/>
      <c r="K44" s="1709"/>
      <c r="L44" s="1709"/>
      <c r="M44" s="1709"/>
      <c r="N44" s="1709"/>
      <c r="O44" s="1709"/>
      <c r="P44" s="1709"/>
      <c r="Q44" s="1709"/>
      <c r="R44" s="1709"/>
      <c r="S44" s="1709"/>
      <c r="T44" s="1709"/>
      <c r="U44" s="1709"/>
      <c r="V44" s="1709"/>
      <c r="W44" s="1709"/>
      <c r="X44" s="1710"/>
    </row>
    <row r="45" spans="1:29" s="141" customFormat="1" ht="18" customHeight="1" x14ac:dyDescent="0.2">
      <c r="A45" s="769">
        <v>2</v>
      </c>
      <c r="B45" s="1708"/>
      <c r="C45" s="1709"/>
      <c r="D45" s="1709"/>
      <c r="E45" s="1709"/>
      <c r="F45" s="1709"/>
      <c r="G45" s="1709"/>
      <c r="H45" s="1709"/>
      <c r="I45" s="1709"/>
      <c r="J45" s="1709"/>
      <c r="K45" s="1709"/>
      <c r="L45" s="1709"/>
      <c r="M45" s="1709"/>
      <c r="N45" s="1709"/>
      <c r="O45" s="1709"/>
      <c r="P45" s="1709"/>
      <c r="Q45" s="1709"/>
      <c r="R45" s="1709"/>
      <c r="S45" s="1709"/>
      <c r="T45" s="1709"/>
      <c r="U45" s="1709"/>
      <c r="V45" s="1709"/>
      <c r="W45" s="1709"/>
      <c r="X45" s="1710"/>
    </row>
    <row r="46" spans="1:29" s="141" customFormat="1" ht="18" customHeight="1" x14ac:dyDescent="0.2">
      <c r="A46" s="769">
        <v>3</v>
      </c>
      <c r="B46" s="1708"/>
      <c r="C46" s="1709"/>
      <c r="D46" s="1709"/>
      <c r="E46" s="1709"/>
      <c r="F46" s="1709"/>
      <c r="G46" s="1709"/>
      <c r="H46" s="1709"/>
      <c r="I46" s="1709"/>
      <c r="J46" s="1709"/>
      <c r="K46" s="1709"/>
      <c r="L46" s="1709"/>
      <c r="M46" s="1709"/>
      <c r="N46" s="1709"/>
      <c r="O46" s="1709"/>
      <c r="P46" s="1709"/>
      <c r="Q46" s="1709"/>
      <c r="R46" s="1709"/>
      <c r="S46" s="1709"/>
      <c r="T46" s="1709"/>
      <c r="U46" s="1709"/>
      <c r="V46" s="1709"/>
      <c r="W46" s="1709"/>
      <c r="X46" s="1710"/>
    </row>
    <row r="47" spans="1:29" s="54" customFormat="1" ht="21" customHeight="1" x14ac:dyDescent="0.2">
      <c r="A47" s="769">
        <v>4</v>
      </c>
      <c r="B47" s="1708"/>
      <c r="C47" s="1709"/>
      <c r="D47" s="1709"/>
      <c r="E47" s="1709"/>
      <c r="F47" s="1709"/>
      <c r="G47" s="1709"/>
      <c r="H47" s="1709"/>
      <c r="I47" s="1709"/>
      <c r="J47" s="1709"/>
      <c r="K47" s="1709"/>
      <c r="L47" s="1709"/>
      <c r="M47" s="1709"/>
      <c r="N47" s="1709"/>
      <c r="O47" s="1709"/>
      <c r="P47" s="1709"/>
      <c r="Q47" s="1709"/>
      <c r="R47" s="1709"/>
      <c r="S47" s="1709"/>
      <c r="T47" s="1709"/>
      <c r="U47" s="1709"/>
      <c r="V47" s="1709"/>
      <c r="W47" s="1709"/>
      <c r="X47" s="1710"/>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187" t="s">
        <v>334</v>
      </c>
      <c r="B1" s="1188"/>
      <c r="C1" s="1188"/>
      <c r="D1" s="1188"/>
      <c r="E1" s="1188"/>
      <c r="F1" s="1188"/>
      <c r="G1" s="1188"/>
      <c r="H1" s="1188"/>
      <c r="I1" s="1188"/>
      <c r="J1" s="1188"/>
      <c r="K1" s="1188"/>
      <c r="L1" s="1185"/>
      <c r="M1" s="1185"/>
      <c r="N1" s="1185"/>
      <c r="O1" s="1185"/>
      <c r="P1" s="1185"/>
      <c r="Q1" s="1185"/>
      <c r="R1" s="1185"/>
      <c r="S1" s="1185"/>
      <c r="T1" s="1185"/>
      <c r="U1" s="1185"/>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414"/>
      <c r="N3" s="1513"/>
      <c r="O3" s="785"/>
      <c r="P3" s="237"/>
      <c r="Q3" s="1342" t="s">
        <v>261</v>
      </c>
      <c r="R3" s="1343"/>
      <c r="S3" s="1343"/>
      <c r="T3" s="1343"/>
      <c r="U3" s="1343"/>
      <c r="V3" s="1343"/>
      <c r="W3" s="1344"/>
      <c r="Y3" s="174" t="s">
        <v>250</v>
      </c>
      <c r="Z3" s="132"/>
    </row>
    <row r="4" spans="1:28" s="57" customFormat="1" ht="15.75" x14ac:dyDescent="0.2">
      <c r="A4" s="1202" t="s">
        <v>231</v>
      </c>
      <c r="B4" s="1199"/>
      <c r="C4" s="1199"/>
      <c r="D4" s="1203">
        <f>L1</f>
        <v>0</v>
      </c>
      <c r="E4" s="1204"/>
      <c r="F4" s="1378" t="s">
        <v>28</v>
      </c>
      <c r="G4" s="1198"/>
      <c r="H4" s="187"/>
      <c r="I4" s="1520"/>
      <c r="J4" s="1520"/>
      <c r="K4" s="1520"/>
      <c r="L4" s="1521"/>
      <c r="M4" s="1348" t="s">
        <v>257</v>
      </c>
      <c r="N4" s="1348"/>
      <c r="O4" s="209"/>
      <c r="P4" s="238"/>
      <c r="Q4" s="1349" t="s">
        <v>236</v>
      </c>
      <c r="R4" s="1350"/>
      <c r="S4" s="1350"/>
      <c r="T4" s="1350"/>
      <c r="U4" s="1350"/>
      <c r="V4" s="1350"/>
      <c r="W4" s="1351"/>
      <c r="Y4" s="271" t="s">
        <v>308</v>
      </c>
      <c r="Z4" s="269" t="s">
        <v>309</v>
      </c>
      <c r="AA4" s="269" t="s">
        <v>310</v>
      </c>
    </row>
    <row r="5" spans="1:28" s="57" customFormat="1" ht="15.75" x14ac:dyDescent="0.2">
      <c r="A5" s="1200" t="s">
        <v>4</v>
      </c>
      <c r="B5" s="1201"/>
      <c r="C5" s="1201"/>
      <c r="D5" s="1221"/>
      <c r="E5" s="1193"/>
      <c r="F5" s="1371" t="s">
        <v>244</v>
      </c>
      <c r="G5" s="1220"/>
      <c r="H5" s="185"/>
      <c r="I5" s="1518"/>
      <c r="J5" s="1518"/>
      <c r="K5" s="1518"/>
      <c r="L5" s="1519"/>
      <c r="M5" s="1338" t="s">
        <v>22</v>
      </c>
      <c r="N5" s="1338"/>
      <c r="O5" s="58"/>
      <c r="P5" s="238"/>
      <c r="Q5" s="1339" t="s">
        <v>302</v>
      </c>
      <c r="R5" s="1340"/>
      <c r="S5" s="1340"/>
      <c r="T5" s="1340"/>
      <c r="U5" s="1340"/>
      <c r="V5" s="1340"/>
      <c r="W5" s="1341"/>
      <c r="Y5" s="172" t="s">
        <v>31</v>
      </c>
      <c r="Z5" s="176">
        <f>SUMIF($G$16:$G$38,"STATE",$K$16:$K$38)</f>
        <v>90</v>
      </c>
      <c r="AA5" s="176">
        <f>SUMIF($G$16:$G$38,"STATE",$S$16:$S$38)</f>
        <v>0</v>
      </c>
    </row>
    <row r="6" spans="1:28" s="57" customFormat="1" ht="16.5" thickBot="1" x14ac:dyDescent="0.25">
      <c r="A6" s="1200" t="s">
        <v>12</v>
      </c>
      <c r="B6" s="1201"/>
      <c r="C6" s="1201"/>
      <c r="D6" s="1221"/>
      <c r="E6" s="1193"/>
      <c r="F6" s="1371" t="s">
        <v>20</v>
      </c>
      <c r="G6" s="1220"/>
      <c r="H6" s="185"/>
      <c r="I6" s="1518" t="s">
        <v>380</v>
      </c>
      <c r="J6" s="1518"/>
      <c r="K6" s="1518"/>
      <c r="L6" s="1519"/>
      <c r="M6" s="1334" t="s">
        <v>233</v>
      </c>
      <c r="N6" s="1334"/>
      <c r="O6" s="212">
        <f>O4+O5*10</f>
        <v>0</v>
      </c>
      <c r="P6" s="238"/>
      <c r="Q6" s="1335" t="s">
        <v>573</v>
      </c>
      <c r="R6" s="1336"/>
      <c r="S6" s="1336"/>
      <c r="T6" s="1336"/>
      <c r="U6" s="1336"/>
      <c r="V6" s="1336"/>
      <c r="W6" s="1337"/>
      <c r="Y6" s="172" t="s">
        <v>32</v>
      </c>
      <c r="Z6" s="176">
        <f>SUMIF($G$16:$G$38,"COUNTY",$K$16:$K$38)</f>
        <v>0</v>
      </c>
      <c r="AA6" s="176">
        <f>SUMIF($G$16:$G$38,"COUNTY",$S$16:$S$38)</f>
        <v>0</v>
      </c>
    </row>
    <row r="7" spans="1:28" s="57" customFormat="1" ht="16.5" thickBot="1" x14ac:dyDescent="0.25">
      <c r="A7" s="1200" t="s">
        <v>5</v>
      </c>
      <c r="B7" s="1201"/>
      <c r="C7" s="1201"/>
      <c r="D7" s="1158"/>
      <c r="E7" s="1193"/>
      <c r="F7" s="1362" t="s">
        <v>21</v>
      </c>
      <c r="G7" s="1173"/>
      <c r="H7" s="186"/>
      <c r="I7" s="1516" t="s">
        <v>3</v>
      </c>
      <c r="J7" s="1516"/>
      <c r="K7" s="1516"/>
      <c r="L7" s="1517"/>
      <c r="M7" s="235"/>
      <c r="N7" s="242"/>
      <c r="O7" s="236"/>
      <c r="P7" s="238"/>
      <c r="Q7" s="1323" t="s">
        <v>235</v>
      </c>
      <c r="R7" s="1324"/>
      <c r="S7" s="1324"/>
      <c r="T7" s="1324"/>
      <c r="U7" s="1324"/>
      <c r="V7" s="1324"/>
      <c r="W7" s="1325"/>
      <c r="Y7" s="172" t="s">
        <v>52</v>
      </c>
      <c r="Z7" s="176">
        <f>SUMIF($G$16:$G$38,"CITY",$K$16:$K$38)</f>
        <v>0</v>
      </c>
      <c r="AA7" s="176">
        <f>SUMIF($G$16:$G$38,"CITY",$S$16:$S$38)</f>
        <v>0</v>
      </c>
    </row>
    <row r="8" spans="1:28" s="57" customFormat="1" ht="15.75" customHeight="1" x14ac:dyDescent="0.2">
      <c r="A8" s="1228" t="s">
        <v>54</v>
      </c>
      <c r="B8" s="1196"/>
      <c r="C8" s="1196"/>
      <c r="D8" s="1705" t="s">
        <v>342</v>
      </c>
      <c r="E8" s="1706"/>
      <c r="F8" s="1378" t="s">
        <v>253</v>
      </c>
      <c r="G8" s="1198"/>
      <c r="H8" s="187"/>
      <c r="I8" s="1520"/>
      <c r="J8" s="1520"/>
      <c r="K8" s="1520"/>
      <c r="L8" s="1521"/>
      <c r="M8" s="1373" t="s">
        <v>257</v>
      </c>
      <c r="N8" s="1373"/>
      <c r="O8" s="55"/>
      <c r="P8" s="239"/>
      <c r="Q8" s="1314" t="s">
        <v>303</v>
      </c>
      <c r="R8" s="1266"/>
      <c r="S8" s="1266"/>
      <c r="T8" s="1266"/>
      <c r="U8" s="1266"/>
      <c r="V8" s="1266"/>
      <c r="W8" s="1315"/>
      <c r="Y8" s="172" t="s">
        <v>230</v>
      </c>
      <c r="Z8" s="176">
        <f>SUMIF($G$16:$G$38,"COURT",$K$16:$K$38)</f>
        <v>0</v>
      </c>
      <c r="AA8" s="176">
        <f>SUMIF($G$16:$G$38,"COURT",$S$16:$S$38)</f>
        <v>0</v>
      </c>
    </row>
    <row r="9" spans="1:28" s="57" customFormat="1" ht="18" customHeight="1" thickBot="1" x14ac:dyDescent="0.25">
      <c r="A9" s="1227" t="s">
        <v>53</v>
      </c>
      <c r="B9" s="1182"/>
      <c r="C9" s="1182"/>
      <c r="D9" s="1189" t="s">
        <v>342</v>
      </c>
      <c r="E9" s="1190"/>
      <c r="F9" s="1371" t="s">
        <v>244</v>
      </c>
      <c r="G9" s="1220"/>
      <c r="H9" s="185"/>
      <c r="I9" s="1518"/>
      <c r="J9" s="1518"/>
      <c r="K9" s="1518"/>
      <c r="L9" s="1519"/>
      <c r="M9" s="1338" t="s">
        <v>22</v>
      </c>
      <c r="N9" s="1338"/>
      <c r="O9" s="58"/>
      <c r="P9" s="239"/>
      <c r="Q9" s="1316"/>
      <c r="R9" s="1269"/>
      <c r="S9" s="1269"/>
      <c r="T9" s="1269"/>
      <c r="U9" s="1269"/>
      <c r="V9" s="1269"/>
      <c r="W9" s="1317"/>
      <c r="Y9" s="153" t="s">
        <v>446</v>
      </c>
      <c r="Z9" s="176">
        <f>SUMIF($G$16:$G$45,"CNTY or CTY",$L$16:$L$45)</f>
        <v>0</v>
      </c>
      <c r="AA9" s="176">
        <f>SUMIF($G$16:$G$45,"CNTY or CTY",$T$16:$T$45)</f>
        <v>0</v>
      </c>
    </row>
    <row r="10" spans="1:28" s="57" customFormat="1" ht="16.5" customHeight="1" thickBot="1" x14ac:dyDescent="0.25">
      <c r="A10" s="1152" t="s">
        <v>276</v>
      </c>
      <c r="B10" s="1153"/>
      <c r="C10" s="1153"/>
      <c r="D10" s="1148">
        <f>O6+O10</f>
        <v>0</v>
      </c>
      <c r="E10" s="1149"/>
      <c r="F10" s="1371" t="s">
        <v>20</v>
      </c>
      <c r="G10" s="1220"/>
      <c r="H10" s="185"/>
      <c r="I10" s="1518"/>
      <c r="J10" s="1518"/>
      <c r="K10" s="1518"/>
      <c r="L10" s="1519"/>
      <c r="M10" s="1334" t="s">
        <v>233</v>
      </c>
      <c r="N10" s="1334"/>
      <c r="O10" s="212">
        <f>O8+O9*10</f>
        <v>0</v>
      </c>
      <c r="P10" s="240"/>
      <c r="Q10" s="1311" t="s">
        <v>239</v>
      </c>
      <c r="R10" s="1312"/>
      <c r="S10" s="1312"/>
      <c r="T10" s="1312"/>
      <c r="U10" s="1312"/>
      <c r="V10" s="1312"/>
      <c r="W10" s="1313"/>
      <c r="Y10" s="531" t="s">
        <v>246</v>
      </c>
      <c r="Z10" s="148">
        <f>SUM(Z5:Z9)</f>
        <v>90</v>
      </c>
      <c r="AA10" s="148">
        <f>SUM(AA5:AA9)</f>
        <v>0</v>
      </c>
    </row>
    <row r="11" spans="1:28" s="57" customFormat="1" ht="16.5" customHeight="1" thickBot="1" x14ac:dyDescent="0.25">
      <c r="A11" s="1150" t="s">
        <v>277</v>
      </c>
      <c r="B11" s="1151"/>
      <c r="C11" s="1151"/>
      <c r="D11" s="1146">
        <f>ROUNDUP(D10/10,0)</f>
        <v>0</v>
      </c>
      <c r="E11" s="1147"/>
      <c r="F11" s="1362" t="s">
        <v>21</v>
      </c>
      <c r="G11" s="1173"/>
      <c r="H11" s="186"/>
      <c r="I11" s="1516"/>
      <c r="J11" s="1516"/>
      <c r="K11" s="1516"/>
      <c r="L11" s="1517"/>
      <c r="M11" s="1416" t="s">
        <v>568</v>
      </c>
      <c r="N11" s="1448"/>
      <c r="O11" s="780">
        <f>'1-DUI (Reduce Base)'!P11</f>
        <v>7</v>
      </c>
      <c r="P11" s="240"/>
      <c r="Q11" s="1296" t="s">
        <v>430</v>
      </c>
      <c r="R11" s="1297"/>
      <c r="S11" s="1297"/>
      <c r="T11" s="1297"/>
      <c r="U11" s="1297"/>
      <c r="V11" s="1297"/>
      <c r="W11" s="1298"/>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299" t="s">
        <v>297</v>
      </c>
      <c r="J13" s="1300"/>
      <c r="K13" s="1301"/>
      <c r="L13" s="110"/>
      <c r="M13" s="1302" t="s">
        <v>229</v>
      </c>
      <c r="N13" s="1303"/>
      <c r="O13" s="1304"/>
      <c r="P13" s="111"/>
      <c r="Q13" s="1305" t="s">
        <v>295</v>
      </c>
      <c r="R13" s="1306"/>
      <c r="S13" s="1307"/>
      <c r="T13" s="226"/>
      <c r="U13" s="158"/>
      <c r="V13" s="158"/>
      <c r="W13" s="159"/>
      <c r="X13" s="108"/>
      <c r="Y13" s="108"/>
      <c r="Z13" s="108"/>
      <c r="AA13" s="108"/>
      <c r="AB13" s="108"/>
    </row>
    <row r="14" spans="1:28" ht="44.25" customHeight="1" thickBot="1" x14ac:dyDescent="0.25">
      <c r="A14" s="533">
        <v>0.02</v>
      </c>
      <c r="B14" s="533" t="s">
        <v>58</v>
      </c>
      <c r="C14" s="1160" t="s">
        <v>226</v>
      </c>
      <c r="D14" s="1161"/>
      <c r="E14" s="1161"/>
      <c r="F14" s="1162"/>
      <c r="G14" s="537" t="s">
        <v>249</v>
      </c>
      <c r="H14" s="114" t="s">
        <v>0</v>
      </c>
      <c r="I14" s="1360" t="s">
        <v>298</v>
      </c>
      <c r="J14" s="1287" t="s">
        <v>6</v>
      </c>
      <c r="K14" s="536" t="s">
        <v>299</v>
      </c>
      <c r="L14" s="67"/>
      <c r="M14" s="1256" t="s">
        <v>260</v>
      </c>
      <c r="N14" s="1257"/>
      <c r="O14" s="535" t="s">
        <v>248</v>
      </c>
      <c r="P14" s="121"/>
      <c r="Q14" s="690" t="s">
        <v>428</v>
      </c>
      <c r="R14" s="1287" t="s">
        <v>6</v>
      </c>
      <c r="S14" s="536" t="s">
        <v>299</v>
      </c>
      <c r="T14" s="228"/>
      <c r="U14" s="532" t="s">
        <v>256</v>
      </c>
      <c r="V14" s="1289" t="s">
        <v>61</v>
      </c>
      <c r="W14" s="1291" t="s">
        <v>384</v>
      </c>
    </row>
    <row r="15" spans="1:28" ht="30.75" customHeight="1" thickBot="1" x14ac:dyDescent="0.25">
      <c r="A15" s="534"/>
      <c r="B15" s="534"/>
      <c r="C15" s="1163"/>
      <c r="D15" s="1164"/>
      <c r="E15" s="1164"/>
      <c r="F15" s="1165"/>
      <c r="G15" s="538"/>
      <c r="H15" s="538"/>
      <c r="I15" s="1361"/>
      <c r="J15" s="1288"/>
      <c r="K15" s="244" t="s">
        <v>42</v>
      </c>
      <c r="L15" s="68"/>
      <c r="M15" s="1254"/>
      <c r="N15" s="1255"/>
      <c r="O15" s="297" t="s">
        <v>43</v>
      </c>
      <c r="P15" s="121"/>
      <c r="Q15" s="246" t="e">
        <f>Q31/I31</f>
        <v>#DIV/0!</v>
      </c>
      <c r="R15" s="1288"/>
      <c r="S15" s="244" t="s">
        <v>44</v>
      </c>
      <c r="T15" s="228"/>
      <c r="U15" s="298" t="s">
        <v>300</v>
      </c>
      <c r="V15" s="1290"/>
      <c r="W15" s="1292"/>
    </row>
    <row r="16" spans="1:28" s="74" customFormat="1" ht="15.75" customHeight="1" thickTop="1" x14ac:dyDescent="0.2">
      <c r="A16" s="69" t="s">
        <v>8</v>
      </c>
      <c r="B16" s="1585" t="s">
        <v>241</v>
      </c>
      <c r="C16" s="1226" t="s">
        <v>335</v>
      </c>
      <c r="D16" s="1226"/>
      <c r="E16" s="1226"/>
      <c r="F16" s="1226"/>
      <c r="G16" s="701" t="s">
        <v>31</v>
      </c>
      <c r="H16" s="77" t="s">
        <v>337</v>
      </c>
      <c r="I16" s="156">
        <f>$D$10*50%</f>
        <v>0</v>
      </c>
      <c r="J16" s="162">
        <f>IF(A16="Y",I16* 2%,0)</f>
        <v>0</v>
      </c>
      <c r="K16" s="167">
        <f>I16-J16</f>
        <v>0</v>
      </c>
      <c r="L16" s="164"/>
      <c r="M16" s="1183"/>
      <c r="N16" s="1184"/>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585"/>
      <c r="C17" s="1226" t="s">
        <v>336</v>
      </c>
      <c r="D17" s="1226"/>
      <c r="E17" s="1226"/>
      <c r="F17" s="1226"/>
      <c r="G17" s="701" t="s">
        <v>32</v>
      </c>
      <c r="H17" s="77" t="s">
        <v>338</v>
      </c>
      <c r="I17" s="156">
        <f>$D$10*50%</f>
        <v>0</v>
      </c>
      <c r="J17" s="162">
        <f>IF(A17="Y",I17* 2%,0)</f>
        <v>0</v>
      </c>
      <c r="K17" s="167">
        <f>I17-J17</f>
        <v>0</v>
      </c>
      <c r="L17" s="164"/>
      <c r="M17" s="1183"/>
      <c r="N17" s="1184"/>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172" t="s">
        <v>546</v>
      </c>
      <c r="D18" s="1172"/>
      <c r="E18" s="1172"/>
      <c r="F18" s="1172"/>
      <c r="G18" s="694" t="s">
        <v>31</v>
      </c>
      <c r="H18" s="77" t="s">
        <v>26</v>
      </c>
      <c r="I18" s="155">
        <f>$D$11*B18</f>
        <v>0</v>
      </c>
      <c r="J18" s="162">
        <f t="shared" ref="J18:J30" si="2">IF(A18="Y",I18* 2%,0)</f>
        <v>0</v>
      </c>
      <c r="K18" s="167">
        <f t="shared" ref="K18:K29" si="3">I18-J18</f>
        <v>0</v>
      </c>
      <c r="L18" s="164"/>
      <c r="M18" s="1183"/>
      <c r="N18" s="1184"/>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172" t="s">
        <v>547</v>
      </c>
      <c r="D19" s="1172"/>
      <c r="E19" s="1172"/>
      <c r="F19" s="1172"/>
      <c r="G19" s="694" t="s">
        <v>32</v>
      </c>
      <c r="H19" s="77" t="s">
        <v>27</v>
      </c>
      <c r="I19" s="155">
        <f t="shared" ref="I19:I29" si="6">$D$11*B19</f>
        <v>0</v>
      </c>
      <c r="J19" s="162">
        <f t="shared" si="2"/>
        <v>0</v>
      </c>
      <c r="K19" s="167">
        <f t="shared" si="3"/>
        <v>0</v>
      </c>
      <c r="L19" s="164"/>
      <c r="M19" s="1183"/>
      <c r="N19" s="1184"/>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183" t="s">
        <v>216</v>
      </c>
      <c r="D20" s="1240"/>
      <c r="E20" s="1240"/>
      <c r="F20" s="1241"/>
      <c r="G20" s="694" t="s">
        <v>32</v>
      </c>
      <c r="H20" s="77" t="s">
        <v>55</v>
      </c>
      <c r="I20" s="155">
        <f t="shared" si="6"/>
        <v>0</v>
      </c>
      <c r="J20" s="162">
        <f t="shared" si="2"/>
        <v>0</v>
      </c>
      <c r="K20" s="167">
        <f t="shared" si="3"/>
        <v>0</v>
      </c>
      <c r="L20" s="164"/>
      <c r="M20" s="1183"/>
      <c r="N20" s="1184"/>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183" t="s">
        <v>466</v>
      </c>
      <c r="D21" s="1240"/>
      <c r="E21" s="1240"/>
      <c r="F21" s="1241"/>
      <c r="G21" s="694" t="s">
        <v>31</v>
      </c>
      <c r="H21" s="77" t="s">
        <v>72</v>
      </c>
      <c r="I21" s="155">
        <f t="shared" si="6"/>
        <v>0</v>
      </c>
      <c r="J21" s="162">
        <f t="shared" si="2"/>
        <v>0</v>
      </c>
      <c r="K21" s="167">
        <f t="shared" si="3"/>
        <v>0</v>
      </c>
      <c r="L21" s="164"/>
      <c r="M21" s="1183"/>
      <c r="N21" s="1184"/>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172" t="s">
        <v>217</v>
      </c>
      <c r="D22" s="1172"/>
      <c r="E22" s="1279" t="str">
        <f>IF(SUM(B22:B26)=O11,"GC 76000 PA ($" &amp;O11 &amp; " for every 10) breakdown per local board of supervisor resolution (BOS).","ERROR! GC 76000 PA total is not $" &amp;O11&amp; ". Check Court's board resolution.")</f>
        <v>ERROR! GC 76000 PA total is not $7. Check Court's board resolution.</v>
      </c>
      <c r="F22" s="1280"/>
      <c r="G22" s="694" t="s">
        <v>32</v>
      </c>
      <c r="H22" s="77" t="s">
        <v>64</v>
      </c>
      <c r="I22" s="155">
        <f t="shared" si="6"/>
        <v>0</v>
      </c>
      <c r="J22" s="162">
        <f t="shared" si="2"/>
        <v>0</v>
      </c>
      <c r="K22" s="167">
        <f t="shared" si="3"/>
        <v>0</v>
      </c>
      <c r="L22" s="164"/>
      <c r="M22" s="1183"/>
      <c r="N22" s="1184"/>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172" t="s">
        <v>218</v>
      </c>
      <c r="D23" s="1172"/>
      <c r="E23" s="1281"/>
      <c r="F23" s="1282"/>
      <c r="G23" s="694" t="s">
        <v>32</v>
      </c>
      <c r="H23" s="77" t="s">
        <v>35</v>
      </c>
      <c r="I23" s="155">
        <f t="shared" si="6"/>
        <v>0</v>
      </c>
      <c r="J23" s="162">
        <f t="shared" si="2"/>
        <v>0</v>
      </c>
      <c r="K23" s="167">
        <f t="shared" si="3"/>
        <v>0</v>
      </c>
      <c r="L23" s="164"/>
      <c r="M23" s="1183"/>
      <c r="N23" s="1184"/>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172" t="s">
        <v>219</v>
      </c>
      <c r="D24" s="1172"/>
      <c r="E24" s="1281"/>
      <c r="F24" s="1282"/>
      <c r="G24" s="694" t="s">
        <v>32</v>
      </c>
      <c r="H24" s="77" t="s">
        <v>65</v>
      </c>
      <c r="I24" s="155">
        <f t="shared" si="6"/>
        <v>0</v>
      </c>
      <c r="J24" s="162">
        <f t="shared" si="2"/>
        <v>0</v>
      </c>
      <c r="K24" s="167">
        <f t="shared" si="3"/>
        <v>0</v>
      </c>
      <c r="L24" s="164"/>
      <c r="M24" s="1183"/>
      <c r="N24" s="1184"/>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172" t="s">
        <v>401</v>
      </c>
      <c r="D25" s="1172"/>
      <c r="E25" s="1281"/>
      <c r="F25" s="1282"/>
      <c r="G25" s="694" t="s">
        <v>32</v>
      </c>
      <c r="H25" s="77" t="s">
        <v>65</v>
      </c>
      <c r="I25" s="155">
        <f>$D$11*B25</f>
        <v>0</v>
      </c>
      <c r="J25" s="162">
        <f>IF(A25="Y",I25* 2%,0)</f>
        <v>0</v>
      </c>
      <c r="K25" s="167">
        <f>I25-J25</f>
        <v>0</v>
      </c>
      <c r="L25" s="164"/>
      <c r="M25" s="1183"/>
      <c r="N25" s="1184"/>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172" t="s">
        <v>254</v>
      </c>
      <c r="D26" s="1172"/>
      <c r="E26" s="1283"/>
      <c r="F26" s="1284"/>
      <c r="G26" s="694" t="s">
        <v>32</v>
      </c>
      <c r="H26" s="77"/>
      <c r="I26" s="155">
        <f t="shared" si="6"/>
        <v>0</v>
      </c>
      <c r="J26" s="162">
        <f t="shared" si="2"/>
        <v>0</v>
      </c>
      <c r="K26" s="167">
        <f t="shared" si="3"/>
        <v>0</v>
      </c>
      <c r="L26" s="164"/>
      <c r="M26" s="1183"/>
      <c r="N26" s="1184"/>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154" t="s">
        <v>286</v>
      </c>
      <c r="D27" s="1155"/>
      <c r="E27" s="1155"/>
      <c r="F27" s="1232"/>
      <c r="G27" s="702" t="s">
        <v>32</v>
      </c>
      <c r="H27" s="84" t="s">
        <v>36</v>
      </c>
      <c r="I27" s="155">
        <f t="shared" si="6"/>
        <v>0</v>
      </c>
      <c r="J27" s="162">
        <f t="shared" si="2"/>
        <v>0</v>
      </c>
      <c r="K27" s="167">
        <f t="shared" si="3"/>
        <v>0</v>
      </c>
      <c r="L27" s="164"/>
      <c r="M27" s="1183"/>
      <c r="N27" s="1184"/>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154" t="s">
        <v>555</v>
      </c>
      <c r="D28" s="1155"/>
      <c r="E28" s="1232"/>
      <c r="F28" s="1088" t="s">
        <v>281</v>
      </c>
      <c r="G28" s="702" t="s">
        <v>31</v>
      </c>
      <c r="H28" s="84" t="s">
        <v>37</v>
      </c>
      <c r="I28" s="155">
        <f t="shared" si="6"/>
        <v>0</v>
      </c>
      <c r="J28" s="162">
        <f t="shared" si="2"/>
        <v>0</v>
      </c>
      <c r="K28" s="167">
        <f t="shared" si="3"/>
        <v>0</v>
      </c>
      <c r="L28" s="164"/>
      <c r="M28" s="1183"/>
      <c r="N28" s="1184"/>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154" t="s">
        <v>556</v>
      </c>
      <c r="D29" s="1155"/>
      <c r="E29" s="1232"/>
      <c r="F29" s="1089"/>
      <c r="G29" s="702" t="s">
        <v>31</v>
      </c>
      <c r="H29" s="84" t="s">
        <v>197</v>
      </c>
      <c r="I29" s="155">
        <f t="shared" si="6"/>
        <v>0</v>
      </c>
      <c r="J29" s="162">
        <f t="shared" si="2"/>
        <v>0</v>
      </c>
      <c r="K29" s="167">
        <f t="shared" si="3"/>
        <v>0</v>
      </c>
      <c r="L29" s="164"/>
      <c r="M29" s="1183"/>
      <c r="N29" s="1184"/>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154" t="s">
        <v>220</v>
      </c>
      <c r="D30" s="1155"/>
      <c r="E30" s="1155"/>
      <c r="F30" s="1232"/>
      <c r="G30" s="702" t="s">
        <v>31</v>
      </c>
      <c r="H30" s="84" t="s">
        <v>10</v>
      </c>
      <c r="I30" s="155">
        <f>$D$10*20%</f>
        <v>0</v>
      </c>
      <c r="J30" s="162">
        <f t="shared" si="2"/>
        <v>0</v>
      </c>
      <c r="K30" s="167">
        <f>I30-J30</f>
        <v>0</v>
      </c>
      <c r="L30" s="164"/>
      <c r="M30" s="1183"/>
      <c r="N30" s="1184"/>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229" t="s">
        <v>221</v>
      </c>
      <c r="D31" s="1230"/>
      <c r="E31" s="1230"/>
      <c r="F31" s="1231"/>
      <c r="G31" s="703"/>
      <c r="H31" s="88"/>
      <c r="I31" s="157">
        <f>SUM(I16:I30)</f>
        <v>0</v>
      </c>
      <c r="J31" s="162"/>
      <c r="K31" s="168">
        <f>SUM(K16:K30)</f>
        <v>0</v>
      </c>
      <c r="L31" s="165"/>
      <c r="M31" s="1154"/>
      <c r="N31" s="1239"/>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154" t="s">
        <v>419</v>
      </c>
      <c r="D32" s="1155"/>
      <c r="E32" s="1155"/>
      <c r="F32" s="1232"/>
      <c r="G32" s="702" t="s">
        <v>31</v>
      </c>
      <c r="H32" s="91"/>
      <c r="I32" s="204">
        <v>40</v>
      </c>
      <c r="J32" s="162">
        <f>IF(A32="Y", I32*2%,0)</f>
        <v>0</v>
      </c>
      <c r="K32" s="167">
        <f>I32-J32</f>
        <v>40</v>
      </c>
      <c r="L32" s="164"/>
      <c r="M32" s="1183"/>
      <c r="N32" s="1184"/>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233" t="s">
        <v>259</v>
      </c>
      <c r="D33" s="1234"/>
      <c r="E33" s="1234"/>
      <c r="F33" s="1235"/>
      <c r="G33" s="704" t="s">
        <v>31</v>
      </c>
      <c r="H33" s="92" t="s">
        <v>197</v>
      </c>
      <c r="I33" s="204">
        <v>35</v>
      </c>
      <c r="J33" s="162">
        <f t="shared" ref="J33:J37" si="8">IF(A33="Y", I33*2%,0)</f>
        <v>0</v>
      </c>
      <c r="K33" s="167">
        <f t="shared" ref="K33:K37" si="9">I33-J33</f>
        <v>35</v>
      </c>
      <c r="L33" s="164"/>
      <c r="M33" s="1183"/>
      <c r="N33" s="1184"/>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233" t="s">
        <v>497</v>
      </c>
      <c r="D34" s="1234"/>
      <c r="E34" s="1234"/>
      <c r="F34" s="1235"/>
      <c r="G34" s="704" t="s">
        <v>31</v>
      </c>
      <c r="H34" s="92" t="s">
        <v>337</v>
      </c>
      <c r="I34" s="204">
        <v>15</v>
      </c>
      <c r="J34" s="162">
        <f t="shared" si="8"/>
        <v>0.3</v>
      </c>
      <c r="K34" s="167">
        <f t="shared" si="9"/>
        <v>14.7</v>
      </c>
      <c r="L34" s="164"/>
      <c r="M34" s="1183"/>
      <c r="N34" s="1184"/>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1694" t="s">
        <v>560</v>
      </c>
      <c r="D35" s="1694"/>
      <c r="E35" s="1694"/>
      <c r="F35" s="1694"/>
      <c r="G35" s="704" t="s">
        <v>31</v>
      </c>
      <c r="H35" s="92" t="s">
        <v>13</v>
      </c>
      <c r="I35" s="204">
        <v>0</v>
      </c>
      <c r="J35" s="162">
        <f t="shared" si="8"/>
        <v>0</v>
      </c>
      <c r="K35" s="167">
        <f t="shared" si="9"/>
        <v>0</v>
      </c>
      <c r="L35" s="164"/>
      <c r="M35" s="1183"/>
      <c r="N35" s="1184"/>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233" t="s">
        <v>454</v>
      </c>
      <c r="D36" s="1234"/>
      <c r="E36" s="1234"/>
      <c r="F36" s="1235"/>
      <c r="G36" s="704" t="s">
        <v>32</v>
      </c>
      <c r="H36" s="92" t="s">
        <v>27</v>
      </c>
      <c r="I36" s="204"/>
      <c r="J36" s="162">
        <f t="shared" si="8"/>
        <v>0</v>
      </c>
      <c r="K36" s="167">
        <f t="shared" si="9"/>
        <v>0</v>
      </c>
      <c r="L36" s="164"/>
      <c r="M36" s="1183"/>
      <c r="N36" s="1184"/>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154" t="s">
        <v>520</v>
      </c>
      <c r="D37" s="1155"/>
      <c r="E37" s="1155"/>
      <c r="F37" s="1232"/>
      <c r="G37" s="704" t="s">
        <v>230</v>
      </c>
      <c r="H37" s="92" t="s">
        <v>82</v>
      </c>
      <c r="I37" s="204"/>
      <c r="J37" s="162">
        <f t="shared" si="8"/>
        <v>0</v>
      </c>
      <c r="K37" s="167">
        <f t="shared" si="9"/>
        <v>0</v>
      </c>
      <c r="L37" s="164"/>
      <c r="M37" s="1183"/>
      <c r="N37" s="1184"/>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183" t="s">
        <v>492</v>
      </c>
      <c r="D38" s="1240"/>
      <c r="E38" s="1240"/>
      <c r="F38" s="1241"/>
      <c r="G38" s="705" t="s">
        <v>31</v>
      </c>
      <c r="H38" s="96" t="s">
        <v>41</v>
      </c>
      <c r="I38" s="97"/>
      <c r="J38" s="163"/>
      <c r="K38" s="169">
        <f>J39</f>
        <v>0.3</v>
      </c>
      <c r="L38" s="164"/>
      <c r="M38" s="1183"/>
      <c r="N38" s="1184"/>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276" t="s">
        <v>61</v>
      </c>
      <c r="B41" s="1276"/>
      <c r="C41" s="1276"/>
      <c r="D41" s="210"/>
      <c r="E41" s="133"/>
      <c r="F41" s="133"/>
      <c r="K41" s="135"/>
      <c r="L41" s="136"/>
      <c r="P41" s="137"/>
      <c r="Q41" s="137"/>
      <c r="R41" s="137"/>
      <c r="S41" s="137"/>
      <c r="T41" s="137"/>
      <c r="U41" s="138"/>
      <c r="V41" s="138"/>
      <c r="W41" s="139"/>
    </row>
    <row r="42" spans="1:28" s="141" customFormat="1" ht="18" customHeight="1" x14ac:dyDescent="0.2">
      <c r="A42" s="769">
        <v>1</v>
      </c>
      <c r="B42" s="1708"/>
      <c r="C42" s="1709"/>
      <c r="D42" s="1709"/>
      <c r="E42" s="1709"/>
      <c r="F42" s="1709"/>
      <c r="G42" s="1709"/>
      <c r="H42" s="1709"/>
      <c r="I42" s="1709"/>
      <c r="J42" s="1709"/>
      <c r="K42" s="1709"/>
      <c r="L42" s="1709"/>
      <c r="M42" s="1709"/>
      <c r="N42" s="1709"/>
      <c r="O42" s="1709"/>
      <c r="P42" s="1709"/>
      <c r="Q42" s="1709"/>
      <c r="R42" s="1709"/>
      <c r="S42" s="1709"/>
      <c r="T42" s="1709"/>
      <c r="U42" s="1709"/>
      <c r="V42" s="1709"/>
      <c r="W42" s="1710"/>
    </row>
    <row r="43" spans="1:28" s="141" customFormat="1" ht="18" customHeight="1" x14ac:dyDescent="0.2">
      <c r="A43" s="769">
        <v>2</v>
      </c>
      <c r="B43" s="1708"/>
      <c r="C43" s="1709"/>
      <c r="D43" s="1709"/>
      <c r="E43" s="1709"/>
      <c r="F43" s="1709"/>
      <c r="G43" s="1709"/>
      <c r="H43" s="1709"/>
      <c r="I43" s="1709"/>
      <c r="J43" s="1709"/>
      <c r="K43" s="1709"/>
      <c r="L43" s="1709"/>
      <c r="M43" s="1709"/>
      <c r="N43" s="1709"/>
      <c r="O43" s="1709"/>
      <c r="P43" s="1709"/>
      <c r="Q43" s="1709"/>
      <c r="R43" s="1709"/>
      <c r="S43" s="1709"/>
      <c r="T43" s="1709"/>
      <c r="U43" s="1709"/>
      <c r="V43" s="1709"/>
      <c r="W43" s="1710"/>
    </row>
    <row r="44" spans="1:28" s="141" customFormat="1" ht="18" customHeight="1" x14ac:dyDescent="0.2">
      <c r="A44" s="769">
        <v>3</v>
      </c>
      <c r="B44" s="1708"/>
      <c r="C44" s="1709"/>
      <c r="D44" s="1709"/>
      <c r="E44" s="1709"/>
      <c r="F44" s="1709"/>
      <c r="G44" s="1709"/>
      <c r="H44" s="1709"/>
      <c r="I44" s="1709"/>
      <c r="J44" s="1709"/>
      <c r="K44" s="1709"/>
      <c r="L44" s="1709"/>
      <c r="M44" s="1709"/>
      <c r="N44" s="1709"/>
      <c r="O44" s="1709"/>
      <c r="P44" s="1709"/>
      <c r="Q44" s="1709"/>
      <c r="R44" s="1709"/>
      <c r="S44" s="1709"/>
      <c r="T44" s="1709"/>
      <c r="U44" s="1709"/>
      <c r="V44" s="1709"/>
      <c r="W44" s="1710"/>
    </row>
    <row r="45" spans="1:28" s="54" customFormat="1" ht="23.25" customHeight="1" x14ac:dyDescent="0.2">
      <c r="A45" s="769">
        <v>4</v>
      </c>
      <c r="B45" s="1708"/>
      <c r="C45" s="1709"/>
      <c r="D45" s="1709"/>
      <c r="E45" s="1709"/>
      <c r="F45" s="1709"/>
      <c r="G45" s="1709"/>
      <c r="H45" s="1709"/>
      <c r="I45" s="1709"/>
      <c r="J45" s="1709"/>
      <c r="K45" s="1709"/>
      <c r="L45" s="1709"/>
      <c r="M45" s="1709"/>
      <c r="N45" s="1709"/>
      <c r="O45" s="1709"/>
      <c r="P45" s="1709"/>
      <c r="Q45" s="1709"/>
      <c r="R45" s="1709"/>
      <c r="S45" s="1709"/>
      <c r="T45" s="1709"/>
      <c r="U45" s="1709"/>
      <c r="V45" s="1709"/>
      <c r="W45" s="1710"/>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067" t="s">
        <v>16</v>
      </c>
      <c r="B1" s="1067"/>
      <c r="C1" s="756" t="s">
        <v>522</v>
      </c>
    </row>
    <row r="2" spans="1:4" ht="24" customHeight="1" x14ac:dyDescent="0.2">
      <c r="A2" s="757">
        <v>1</v>
      </c>
      <c r="B2" s="747" t="s">
        <v>89</v>
      </c>
      <c r="C2" s="748" t="s">
        <v>531</v>
      </c>
      <c r="D2" s="1066"/>
    </row>
    <row r="3" spans="1:4" ht="30.75" customHeight="1" x14ac:dyDescent="0.2">
      <c r="A3" s="757">
        <v>2</v>
      </c>
      <c r="B3" s="747" t="s">
        <v>89</v>
      </c>
      <c r="C3" s="748" t="s">
        <v>532</v>
      </c>
      <c r="D3" s="1066"/>
    </row>
    <row r="4" spans="1:4" ht="24" customHeight="1" x14ac:dyDescent="0.2">
      <c r="A4" s="757">
        <v>3</v>
      </c>
      <c r="B4" s="747" t="s">
        <v>90</v>
      </c>
      <c r="C4" s="748" t="s">
        <v>533</v>
      </c>
      <c r="D4" s="1066"/>
    </row>
    <row r="5" spans="1:4" ht="24" customHeight="1" x14ac:dyDescent="0.2">
      <c r="A5" s="758">
        <v>4</v>
      </c>
      <c r="B5" s="749" t="s">
        <v>91</v>
      </c>
      <c r="C5" s="748" t="s">
        <v>523</v>
      </c>
      <c r="D5" s="1066"/>
    </row>
    <row r="6" spans="1:4" ht="24" customHeight="1" x14ac:dyDescent="0.2">
      <c r="A6" s="757">
        <v>5</v>
      </c>
      <c r="B6" s="747" t="s">
        <v>92</v>
      </c>
      <c r="C6" s="750" t="s">
        <v>524</v>
      </c>
      <c r="D6" s="1066"/>
    </row>
    <row r="7" spans="1:4" ht="24" customHeight="1" x14ac:dyDescent="0.2">
      <c r="A7" s="757">
        <v>6</v>
      </c>
      <c r="B7" s="747" t="s">
        <v>93</v>
      </c>
      <c r="C7" s="748" t="s">
        <v>525</v>
      </c>
      <c r="D7" s="1066"/>
    </row>
    <row r="8" spans="1:4" ht="24" customHeight="1" x14ac:dyDescent="0.2">
      <c r="A8" s="758">
        <v>7</v>
      </c>
      <c r="B8" s="749" t="s">
        <v>63</v>
      </c>
      <c r="C8" s="748" t="s">
        <v>526</v>
      </c>
      <c r="D8" s="1066"/>
    </row>
    <row r="9" spans="1:4" ht="24" customHeight="1" x14ac:dyDescent="0.2">
      <c r="A9" s="758">
        <v>8</v>
      </c>
      <c r="B9" s="749" t="s">
        <v>93</v>
      </c>
      <c r="C9" s="748" t="s">
        <v>535</v>
      </c>
      <c r="D9" s="1066"/>
    </row>
    <row r="10" spans="1:4" ht="24" customHeight="1" x14ac:dyDescent="0.2">
      <c r="A10" s="758">
        <v>9</v>
      </c>
      <c r="B10" s="749" t="s">
        <v>94</v>
      </c>
      <c r="C10" s="748" t="s">
        <v>527</v>
      </c>
      <c r="D10" s="1066"/>
    </row>
    <row r="11" spans="1:4" ht="24" customHeight="1" x14ac:dyDescent="0.2">
      <c r="A11" s="758">
        <v>10</v>
      </c>
      <c r="B11" s="749" t="s">
        <v>95</v>
      </c>
      <c r="C11" s="748" t="s">
        <v>528</v>
      </c>
      <c r="D11" s="1066"/>
    </row>
    <row r="12" spans="1:4" ht="24" customHeight="1" x14ac:dyDescent="0.2">
      <c r="A12" s="757">
        <v>11</v>
      </c>
      <c r="B12" s="747" t="s">
        <v>96</v>
      </c>
      <c r="C12" s="748" t="s">
        <v>540</v>
      </c>
      <c r="D12" s="1066"/>
    </row>
    <row r="13" spans="1:4" ht="24" customHeight="1" x14ac:dyDescent="0.2">
      <c r="A13" s="757">
        <v>12</v>
      </c>
      <c r="B13" s="747" t="s">
        <v>97</v>
      </c>
      <c r="C13" s="748" t="s">
        <v>541</v>
      </c>
      <c r="D13" s="1066"/>
    </row>
    <row r="14" spans="1:4" ht="24" customHeight="1" x14ac:dyDescent="0.2">
      <c r="A14" s="757">
        <v>13</v>
      </c>
      <c r="B14" s="747" t="s">
        <v>98</v>
      </c>
      <c r="C14" s="748" t="s">
        <v>539</v>
      </c>
      <c r="D14" s="1066"/>
    </row>
    <row r="15" spans="1:4" ht="24" customHeight="1" x14ac:dyDescent="0.2">
      <c r="A15" s="758">
        <v>14</v>
      </c>
      <c r="B15" s="749" t="s">
        <v>23</v>
      </c>
      <c r="C15" s="748" t="s">
        <v>534</v>
      </c>
      <c r="D15" s="1066"/>
    </row>
    <row r="16" spans="1:4" ht="24" customHeight="1" x14ac:dyDescent="0.2">
      <c r="A16" s="757">
        <v>15</v>
      </c>
      <c r="B16" s="747" t="s">
        <v>99</v>
      </c>
      <c r="C16" s="748" t="s">
        <v>536</v>
      </c>
      <c r="D16" s="1066"/>
    </row>
    <row r="17" spans="1:42" ht="24" customHeight="1" x14ac:dyDescent="0.2">
      <c r="A17" s="758">
        <v>16</v>
      </c>
      <c r="B17" s="749" t="s">
        <v>100</v>
      </c>
      <c r="C17" s="748" t="s">
        <v>529</v>
      </c>
      <c r="D17" s="1066"/>
    </row>
    <row r="18" spans="1:42" ht="24" customHeight="1" x14ac:dyDescent="0.2">
      <c r="A18" s="757">
        <v>17</v>
      </c>
      <c r="B18" s="747" t="s">
        <v>70</v>
      </c>
      <c r="C18" s="748" t="s">
        <v>537</v>
      </c>
      <c r="D18" s="1066"/>
    </row>
    <row r="19" spans="1:42" ht="24" customHeight="1" x14ac:dyDescent="0.2">
      <c r="A19" s="757">
        <v>18</v>
      </c>
      <c r="B19" s="747" t="s">
        <v>70</v>
      </c>
      <c r="C19" s="748" t="s">
        <v>538</v>
      </c>
      <c r="D19" s="1066"/>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59"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068" t="s">
        <v>481</v>
      </c>
      <c r="B1" s="1068"/>
      <c r="C1" s="1068"/>
      <c r="D1" s="1068"/>
      <c r="E1" s="1068"/>
      <c r="F1" s="1068"/>
      <c r="G1" s="1068"/>
      <c r="H1" s="1068"/>
    </row>
    <row r="2" spans="1:8" s="3" customFormat="1" x14ac:dyDescent="0.2">
      <c r="A2" s="46" t="s">
        <v>426</v>
      </c>
      <c r="B2" s="45"/>
      <c r="C2" s="45"/>
      <c r="D2" s="45"/>
      <c r="E2" s="45"/>
      <c r="F2" s="45"/>
      <c r="G2" s="45"/>
      <c r="H2" s="5"/>
    </row>
    <row r="3" spans="1:8" s="3" customFormat="1" x14ac:dyDescent="0.2">
      <c r="A3" s="775" t="s">
        <v>173</v>
      </c>
      <c r="B3" s="775" t="s">
        <v>9</v>
      </c>
      <c r="C3" s="775" t="s">
        <v>176</v>
      </c>
      <c r="D3" s="1069" t="s">
        <v>477</v>
      </c>
      <c r="E3" s="1069"/>
      <c r="F3" s="1069"/>
      <c r="G3" s="775" t="s">
        <v>210</v>
      </c>
      <c r="H3" s="775" t="s">
        <v>460</v>
      </c>
    </row>
    <row r="4" spans="1:8" s="3" customFormat="1" x14ac:dyDescent="0.2">
      <c r="A4" s="1070" t="s">
        <v>423</v>
      </c>
      <c r="B4" s="1070" t="s">
        <v>424</v>
      </c>
      <c r="C4" s="1071" t="s">
        <v>464</v>
      </c>
      <c r="D4" s="678"/>
      <c r="E4" s="680" t="s">
        <v>11</v>
      </c>
      <c r="F4" s="680" t="s">
        <v>425</v>
      </c>
      <c r="G4" s="1074" t="s">
        <v>51</v>
      </c>
      <c r="H4" s="1074"/>
    </row>
    <row r="5" spans="1:8" s="3" customFormat="1" x14ac:dyDescent="0.2">
      <c r="A5" s="1070"/>
      <c r="B5" s="1070"/>
      <c r="C5" s="1072"/>
      <c r="D5" s="650" t="s">
        <v>459</v>
      </c>
      <c r="E5" s="681">
        <v>100</v>
      </c>
      <c r="F5" s="681">
        <v>200</v>
      </c>
      <c r="G5" s="1074"/>
      <c r="H5" s="1074"/>
    </row>
    <row r="6" spans="1:8" s="3" customFormat="1" x14ac:dyDescent="0.2">
      <c r="A6" s="1070"/>
      <c r="B6" s="1070"/>
      <c r="C6" s="1072"/>
      <c r="D6" s="679">
        <v>40909</v>
      </c>
      <c r="E6" s="681">
        <v>120</v>
      </c>
      <c r="F6" s="681">
        <v>240</v>
      </c>
      <c r="G6" s="1074"/>
      <c r="H6" s="1074"/>
    </row>
    <row r="7" spans="1:8" s="3" customFormat="1" x14ac:dyDescent="0.2">
      <c r="A7" s="1070"/>
      <c r="B7" s="1070"/>
      <c r="C7" s="1072"/>
      <c r="D7" s="776">
        <v>41275</v>
      </c>
      <c r="E7" s="777">
        <v>140</v>
      </c>
      <c r="F7" s="777">
        <v>280</v>
      </c>
      <c r="G7" s="1074"/>
      <c r="H7" s="1074"/>
    </row>
    <row r="8" spans="1:8" s="3" customFormat="1" x14ac:dyDescent="0.2">
      <c r="A8" s="1070"/>
      <c r="B8" s="1070"/>
      <c r="C8" s="1073"/>
      <c r="D8" s="728">
        <v>41640</v>
      </c>
      <c r="E8" s="729">
        <v>150</v>
      </c>
      <c r="F8" s="729">
        <v>300</v>
      </c>
      <c r="G8" s="1074"/>
      <c r="H8" s="1074"/>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068" t="s">
        <v>481</v>
      </c>
      <c r="B2" s="1068"/>
      <c r="C2" s="1068"/>
      <c r="D2" s="1068"/>
      <c r="E2" s="1068"/>
      <c r="F2" s="1068"/>
      <c r="G2" s="1068"/>
      <c r="H2" s="1068"/>
    </row>
    <row r="3" spans="1:8" x14ac:dyDescent="0.2">
      <c r="A3" s="46" t="s">
        <v>426</v>
      </c>
      <c r="B3" s="45"/>
      <c r="C3" s="45"/>
      <c r="D3" s="45"/>
      <c r="E3" s="45"/>
      <c r="F3" s="45"/>
      <c r="G3" s="45"/>
      <c r="H3" s="5"/>
    </row>
    <row r="4" spans="1:8" x14ac:dyDescent="0.2">
      <c r="A4" s="716" t="s">
        <v>173</v>
      </c>
      <c r="B4" s="716" t="s">
        <v>9</v>
      </c>
      <c r="C4" s="716" t="s">
        <v>176</v>
      </c>
      <c r="D4" s="1069" t="s">
        <v>477</v>
      </c>
      <c r="E4" s="1069"/>
      <c r="F4" s="1069"/>
      <c r="G4" s="716" t="s">
        <v>210</v>
      </c>
      <c r="H4" s="716" t="s">
        <v>460</v>
      </c>
    </row>
    <row r="5" spans="1:8" x14ac:dyDescent="0.2">
      <c r="A5" s="1070" t="s">
        <v>423</v>
      </c>
      <c r="B5" s="1070" t="s">
        <v>424</v>
      </c>
      <c r="C5" s="1071" t="s">
        <v>464</v>
      </c>
      <c r="D5" s="678"/>
      <c r="E5" s="680" t="s">
        <v>11</v>
      </c>
      <c r="F5" s="680" t="s">
        <v>425</v>
      </c>
      <c r="G5" s="1074" t="s">
        <v>51</v>
      </c>
      <c r="H5" s="1074"/>
    </row>
    <row r="6" spans="1:8" x14ac:dyDescent="0.2">
      <c r="A6" s="1070"/>
      <c r="B6" s="1070"/>
      <c r="C6" s="1072"/>
      <c r="D6" s="650" t="s">
        <v>459</v>
      </c>
      <c r="E6" s="681">
        <v>100</v>
      </c>
      <c r="F6" s="681">
        <v>200</v>
      </c>
      <c r="G6" s="1074"/>
      <c r="H6" s="1074"/>
    </row>
    <row r="7" spans="1:8" x14ac:dyDescent="0.2">
      <c r="A7" s="1070"/>
      <c r="B7" s="1070"/>
      <c r="C7" s="1072"/>
      <c r="D7" s="679">
        <v>40909</v>
      </c>
      <c r="E7" s="681">
        <v>120</v>
      </c>
      <c r="F7" s="681">
        <v>240</v>
      </c>
      <c r="G7" s="1074"/>
      <c r="H7" s="1074"/>
    </row>
    <row r="8" spans="1:8" x14ac:dyDescent="0.2">
      <c r="A8" s="1070"/>
      <c r="B8" s="1070"/>
      <c r="C8" s="1072"/>
      <c r="D8" s="728">
        <v>41275</v>
      </c>
      <c r="E8" s="729">
        <v>140</v>
      </c>
      <c r="F8" s="729">
        <v>280</v>
      </c>
      <c r="G8" s="1074"/>
      <c r="H8" s="1074"/>
    </row>
    <row r="9" spans="1:8" x14ac:dyDescent="0.2">
      <c r="A9" s="1070"/>
      <c r="B9" s="1070"/>
      <c r="C9" s="1073"/>
      <c r="D9" s="679">
        <v>41640</v>
      </c>
      <c r="E9" s="681">
        <v>150</v>
      </c>
      <c r="F9" s="681">
        <v>300</v>
      </c>
      <c r="G9" s="1074"/>
      <c r="H9" s="1074"/>
    </row>
    <row r="11" spans="1:8" ht="18" x14ac:dyDescent="0.2">
      <c r="A11" s="1068" t="s">
        <v>480</v>
      </c>
      <c r="B11" s="1068"/>
      <c r="C11" s="1068"/>
      <c r="D11" s="1068"/>
      <c r="E11" s="1068"/>
      <c r="F11" s="1068"/>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075" t="s">
        <v>552</v>
      </c>
      <c r="B16" s="1075"/>
      <c r="C16" s="1075"/>
      <c r="D16" s="1075"/>
      <c r="E16" s="1075"/>
      <c r="F16" s="1075"/>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068" t="s">
        <v>463</v>
      </c>
      <c r="B21" s="1068"/>
      <c r="C21" s="1068"/>
      <c r="D21" s="1068"/>
      <c r="E21" s="1068"/>
      <c r="F21" s="1068"/>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068" t="s">
        <v>450</v>
      </c>
      <c r="B1" s="1068"/>
      <c r="C1" s="1068"/>
      <c r="D1" s="1068"/>
      <c r="E1" s="1068"/>
      <c r="F1" s="1068"/>
      <c r="G1" s="1068"/>
      <c r="H1" s="1068"/>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069" t="s">
        <v>177</v>
      </c>
      <c r="E4" s="1069"/>
      <c r="F4" s="1069"/>
      <c r="G4" s="42" t="s">
        <v>210</v>
      </c>
      <c r="H4" s="710" t="s">
        <v>460</v>
      </c>
      <c r="I4" s="699"/>
    </row>
    <row r="5" spans="1:9" x14ac:dyDescent="0.2">
      <c r="A5" s="1070" t="s">
        <v>423</v>
      </c>
      <c r="B5" s="1070" t="s">
        <v>424</v>
      </c>
      <c r="C5" s="1071" t="s">
        <v>464</v>
      </c>
      <c r="D5" s="678"/>
      <c r="E5" s="680" t="s">
        <v>11</v>
      </c>
      <c r="F5" s="680" t="s">
        <v>425</v>
      </c>
      <c r="G5" s="1074" t="s">
        <v>51</v>
      </c>
      <c r="H5" s="1074"/>
      <c r="I5" s="711"/>
    </row>
    <row r="6" spans="1:9" x14ac:dyDescent="0.2">
      <c r="A6" s="1070"/>
      <c r="B6" s="1070"/>
      <c r="C6" s="1072"/>
      <c r="D6" s="650" t="s">
        <v>459</v>
      </c>
      <c r="E6" s="681">
        <v>100</v>
      </c>
      <c r="F6" s="681">
        <v>200</v>
      </c>
      <c r="G6" s="1074"/>
      <c r="H6" s="1074"/>
      <c r="I6" s="712"/>
    </row>
    <row r="7" spans="1:9" x14ac:dyDescent="0.2">
      <c r="A7" s="1070"/>
      <c r="B7" s="1070"/>
      <c r="C7" s="1072"/>
      <c r="D7" s="728">
        <v>40909</v>
      </c>
      <c r="E7" s="729">
        <v>120</v>
      </c>
      <c r="F7" s="729">
        <v>240</v>
      </c>
      <c r="G7" s="1074"/>
      <c r="H7" s="1074"/>
      <c r="I7" s="712"/>
    </row>
    <row r="8" spans="1:9" x14ac:dyDescent="0.2">
      <c r="A8" s="1070"/>
      <c r="B8" s="1070"/>
      <c r="C8" s="1072"/>
      <c r="D8" s="679">
        <v>41275</v>
      </c>
      <c r="E8" s="681">
        <v>140</v>
      </c>
      <c r="F8" s="681">
        <v>280</v>
      </c>
      <c r="G8" s="1074"/>
      <c r="H8" s="1074"/>
      <c r="I8" s="712"/>
    </row>
    <row r="9" spans="1:9" x14ac:dyDescent="0.2">
      <c r="A9" s="1070"/>
      <c r="B9" s="1070"/>
      <c r="C9" s="1073"/>
      <c r="D9" s="679">
        <v>41640</v>
      </c>
      <c r="E9" s="681">
        <v>150</v>
      </c>
      <c r="F9" s="681">
        <v>300</v>
      </c>
      <c r="G9" s="1074"/>
      <c r="H9" s="1074"/>
      <c r="I9" s="712"/>
    </row>
    <row r="10" spans="1:9" x14ac:dyDescent="0.2">
      <c r="H10" s="699"/>
      <c r="I10" s="699"/>
    </row>
    <row r="11" spans="1:9" x14ac:dyDescent="0.2">
      <c r="H11" s="699"/>
      <c r="I11" s="699"/>
    </row>
    <row r="12" spans="1:9" s="43" customFormat="1" ht="18" x14ac:dyDescent="0.2">
      <c r="A12" s="1068" t="s">
        <v>451</v>
      </c>
      <c r="B12" s="1068"/>
      <c r="C12" s="1068"/>
      <c r="D12" s="1068"/>
      <c r="E12" s="1068"/>
      <c r="F12" s="1068"/>
      <c r="G12" s="1068"/>
      <c r="H12" s="1068"/>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069" t="s">
        <v>177</v>
      </c>
      <c r="E15" s="1069"/>
      <c r="F15" s="1069"/>
      <c r="G15" s="42" t="s">
        <v>210</v>
      </c>
      <c r="H15" s="710" t="s">
        <v>460</v>
      </c>
    </row>
    <row r="16" spans="1:9" ht="38.25" x14ac:dyDescent="0.2">
      <c r="A16" s="41" t="s">
        <v>457</v>
      </c>
      <c r="B16" s="41" t="s">
        <v>34</v>
      </c>
      <c r="C16" s="737" t="s">
        <v>483</v>
      </c>
      <c r="D16" s="1076" t="s">
        <v>482</v>
      </c>
      <c r="E16" s="1077"/>
      <c r="F16" s="1078"/>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068" t="s">
        <v>463</v>
      </c>
      <c r="B7" s="1068"/>
      <c r="C7" s="1068"/>
      <c r="D7" s="1068"/>
      <c r="E7" s="1068"/>
      <c r="F7" s="1068"/>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079" t="s">
        <v>461</v>
      </c>
      <c r="B14" s="1079"/>
      <c r="C14" s="1079"/>
      <c r="D14" s="1079"/>
      <c r="E14" s="1079"/>
      <c r="F14" s="1079"/>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29</vt:i4>
      </vt:variant>
    </vt:vector>
  </HeadingPairs>
  <TitlesOfParts>
    <vt:vector size="66"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TEST SUMMARY</vt:lpstr>
      <vt:lpstr>Sheet1</vt:lpstr>
      <vt:lpstr>Section</vt:lpstr>
      <vt:lpstr>Acct Mapping</vt:lpstr>
      <vt:lpstr>Pmt Plan Tmpl</vt:lpstr>
      <vt:lpstr>1-DUI (ALT)</vt:lpstr>
      <vt:lpstr>1-DUI (Reduce Base)</vt:lpstr>
      <vt:lpstr>3-RD (Reduce Base)</vt:lpstr>
      <vt:lpstr>4-RRBF</vt:lpstr>
      <vt:lpstr>5-RRTS (BF &amp; No 2%)</vt:lpstr>
      <vt:lpstr> 1 Speeding</vt:lpstr>
      <vt:lpstr>7-RLTS</vt:lpstr>
      <vt:lpstr>8-RLBF (No 30%)</vt:lpstr>
      <vt:lpstr>9-SpBF</vt:lpstr>
      <vt:lpstr>2 Red Light</vt:lpstr>
      <vt:lpstr>3 DUI</vt:lpstr>
      <vt:lpstr>Top Down Method 1</vt:lpstr>
      <vt:lpstr>Top Down Method 2</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Red Light'!Print_Area</vt:lpstr>
      <vt:lpstr>'3 DUI'!Print_Area</vt:lpstr>
      <vt:lpstr>'3-RD (Reduce Base)'!Print_Area</vt:lpstr>
      <vt:lpstr>'4-RRBF'!Print_Area</vt:lpstr>
      <vt:lpstr>'5-RRTS (BF &amp; No 2%)'!Print_Area</vt:lpstr>
      <vt:lpstr>'7-RLTS'!Print_Area</vt:lpstr>
      <vt:lpstr>'8-RLBF (No 30%)'!Print_Area</vt:lpstr>
      <vt:lpstr>'9-SpBF'!Print_Area</vt:lpstr>
      <vt:lpstr>'Cover Page'!Print_Area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Culpepper, Linda</cp:lastModifiedBy>
  <cp:lastPrinted>2016-05-17T23:35:50Z</cp:lastPrinted>
  <dcterms:created xsi:type="dcterms:W3CDTF">2007-12-13T20:20:54Z</dcterms:created>
  <dcterms:modified xsi:type="dcterms:W3CDTF">2016-05-17T23:36:26Z</dcterms:modified>
</cp:coreProperties>
</file>