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8.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0.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30.xml" ContentType="application/vnd.ms-excel.controlproperties+xml"/>
  <Override PartName="/xl/ctrlProps/ctrlProp31.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omments14.xml" ContentType="application/vnd.openxmlformats-officedocument.spreadsheetml.comments+xml"/>
  <Override PartName="/xl/drawings/drawing13.xml" ContentType="application/vnd.openxmlformats-officedocument.drawing+xml"/>
  <Override PartName="/xl/ctrlProps/ctrlProp34.xml" ContentType="application/vnd.ms-excel.controlproperties+xml"/>
  <Override PartName="/xl/ctrlProps/ctrlProp35.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0.xml" ContentType="application/vnd.openxmlformats-officedocument.spreadsheetml.comments+xml"/>
  <Override PartName="/xl/drawings/drawing19.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21.xml" ContentType="application/vnd.openxmlformats-officedocument.spreadsheetml.comments+xml"/>
  <Override PartName="/xl/drawings/drawing20.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1.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22.xml" ContentType="application/vnd.openxmlformats-officedocument.spreadsheetml.comments+xml"/>
  <Override PartName="/xl/drawings/drawing22.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3.xml" ContentType="application/vnd.openxmlformats-officedocument.spreadsheetml.comments+xml"/>
  <Override PartName="/xl/drawings/drawing23.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24.xml" ContentType="application/vnd.openxmlformats-officedocument.spreadsheetml.comments+xml"/>
  <Override PartName="/xl/drawings/drawing24.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25.xml" ContentType="application/vnd.openxmlformats-officedocument.spreadsheetml.comments+xml"/>
  <Override PartName="/xl/drawings/drawing25.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May 2018\Breakout Session B\"/>
    </mc:Choice>
  </mc:AlternateContent>
  <bookViews>
    <workbookView xWindow="0" yWindow="0" windowWidth="24000" windowHeight="9735" tabRatio="973" firstSheet="9" activeTab="9"/>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 1 Special Base Fine Dist. " sheetId="182" r:id="rId11"/>
    <sheet name="2 Base Enhancement Dist." sheetId="187" r:id="rId12"/>
    <sheet name="  3 Regular TVS Dist." sheetId="177" r:id="rId13"/>
    <sheet name="4 Bail Forfeiture Dist." sheetId="183" r:id="rId14"/>
    <sheet name="TEST SUMMARY" sheetId="9" state="hidden" r:id="rId15"/>
    <sheet name="Sheet1" sheetId="82" state="hidden" r:id="rId16"/>
    <sheet name="Section" sheetId="42" state="hidden" r:id="rId17"/>
    <sheet name="Acct Mapping" sheetId="50" state="hidden" r:id="rId18"/>
    <sheet name="Pmt Plan Tmpl" sheetId="73" state="hidden" r:id="rId19"/>
    <sheet name="1-DUI (ALT)" sheetId="52" state="hidden" r:id="rId20"/>
    <sheet name="1-DUI (Reduce Base)" sheetId="157" state="hidden" r:id="rId21"/>
    <sheet name="3-RD (Reduce Base)" sheetId="104" state="hidden" r:id="rId22"/>
    <sheet name="4-RRBF" sheetId="106" state="hidden" r:id="rId23"/>
    <sheet name="5-RRTS (BF &amp; No 2%)" sheetId="121" state="hidden" r:id="rId24"/>
    <sheet name="5 Special TVS Dist. " sheetId="186" r:id="rId25"/>
    <sheet name="6  Multiple Violations Dist. " sheetId="185" r:id="rId26"/>
    <sheet name="Top Down Method 1" sheetId="175" r:id="rId27"/>
    <sheet name="Top Down Method 2" sheetId="176" r:id="rId28"/>
    <sheet name="Sheet2" sheetId="184" state="hidden" r:id="rId29"/>
    <sheet name="7-RLTS" sheetId="98" state="hidden" r:id="rId30"/>
    <sheet name="8-RLBF (No 30%)" sheetId="154" state="hidden" r:id="rId31"/>
    <sheet name="9-SpBF" sheetId="110" state="hidden" r:id="rId32"/>
    <sheet name="11-CSBF" sheetId="124" state="hidden" r:id="rId33"/>
    <sheet name="12-CSTS (BF &amp; 2%)" sheetId="136" state="hidden" r:id="rId34"/>
    <sheet name="13-UC" sheetId="114" state="hidden" r:id="rId35"/>
    <sheet name="14-POC" sheetId="119" state="hidden" r:id="rId36"/>
    <sheet name="15-POI (Base Reduce)" sheetId="142" state="hidden" r:id="rId37"/>
    <sheet name="16-DV" sheetId="120" state="hidden" r:id="rId38"/>
    <sheet name="17-HS (Enhance Base)" sheetId="159" state="hidden" r:id="rId39"/>
    <sheet name="18-HS (Enh-Red Base)" sheetId="158" state="hidden" r:id="rId40"/>
    <sheet name="19-FG" sheetId="138" state="hidden" r:id="rId41"/>
  </sheets>
  <externalReferences>
    <externalReference r:id="rId42"/>
    <externalReference r:id="rId43"/>
    <externalReference r:id="rId44"/>
    <externalReference r:id="rId45"/>
    <externalReference r:id="rId46"/>
    <externalReference r:id="rId47"/>
    <externalReference r:id="rId48"/>
  </externalReferences>
  <definedNames>
    <definedName name="Answer" localSheetId="11">#REF!</definedName>
    <definedName name="Answer" localSheetId="25">#REF!</definedName>
    <definedName name="Answer">#REF!</definedName>
    <definedName name="Counties">'Local Penalties'!$A$12:$A$69</definedName>
    <definedName name="County" localSheetId="11">#REF!</definedName>
    <definedName name="County" localSheetId="25">#REF!</definedName>
    <definedName name="County">#REF!</definedName>
    <definedName name="County_Name" localSheetId="11">#REF!</definedName>
    <definedName name="County_Name" localSheetId="25">#REF!</definedName>
    <definedName name="County_Name">#REF!</definedName>
    <definedName name="Court_Name" localSheetId="35">[1]Sheet1!$D$1:$D$59</definedName>
    <definedName name="Court_Name" localSheetId="37">[1]Sheet1!$D$1:$D$59</definedName>
    <definedName name="Court_Name">Sheet1!$D$1:$D$59</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38">#REF!</definedName>
    <definedName name="dbo_Fund" localSheetId="39">#REF!</definedName>
    <definedName name="dbo_Fund" localSheetId="40">#REF!</definedName>
    <definedName name="dbo_Fund" localSheetId="20">#REF!</definedName>
    <definedName name="dbo_Fund" localSheetId="11">#REF!</definedName>
    <definedName name="dbo_Fund" localSheetId="8">#REF!</definedName>
    <definedName name="dbo_Fund" localSheetId="7">#REF!</definedName>
    <definedName name="dbo_Fund" localSheetId="6">#REF!</definedName>
    <definedName name="dbo_Fund" localSheetId="5">#REF!</definedName>
    <definedName name="dbo_Fund" localSheetId="21">#REF!</definedName>
    <definedName name="dbo_Fund" localSheetId="22">#REF!</definedName>
    <definedName name="dbo_Fund" localSheetId="23">#REF!</definedName>
    <definedName name="dbo_Fund" localSheetId="25">#REF!</definedName>
    <definedName name="dbo_Fund" localSheetId="29">#REF!</definedName>
    <definedName name="dbo_Fund" localSheetId="30">#REF!</definedName>
    <definedName name="dbo_Fund" localSheetId="31">#REF!</definedName>
    <definedName name="dbo_Fund" localSheetId="3">#REF!</definedName>
    <definedName name="dbo_Fund">#REF!</definedName>
    <definedName name="Distribution_Method" localSheetId="35">'[1]Drop-Down List'!$A$1:$A$2</definedName>
    <definedName name="Distribution_Method" localSheetId="37">'[1]Drop-Down List'!$A$1:$A$2</definedName>
    <definedName name="Distribution_Method">'Drop-Down List'!$A$1:$A$2</definedName>
    <definedName name="H_S">'[2]Drop-Down List'!$A$12:$A$13</definedName>
    <definedName name="health">'[2]Drop-Down List'!$A$12:$A$13</definedName>
    <definedName name="HS">#REF!</definedName>
    <definedName name="_xlnm.Print_Area" localSheetId="12">'  3 Regular TVS Dist.'!$A$1:$N$46</definedName>
    <definedName name="_xlnm.Print_Area" localSheetId="10">' 1 Special Base Fine Dist. '!$A$1:$O$49</definedName>
    <definedName name="_xlnm.Print_Area" localSheetId="32">'11-CSBF'!$A$1:$W$47</definedName>
    <definedName name="_xlnm.Print_Area" localSheetId="33">'12-CSTS (BF &amp; 2%)'!$A$1:$W$52</definedName>
    <definedName name="_xlnm.Print_Area" localSheetId="34">'13-UC'!$A$1:$W$47</definedName>
    <definedName name="_xlnm.Print_Area" localSheetId="35">'14-POC'!$A$1:$W$27</definedName>
    <definedName name="_xlnm.Print_Area" localSheetId="36">'15-POI (Base Reduce)'!$A$1:$W$47</definedName>
    <definedName name="_xlnm.Print_Area" localSheetId="37">'16-DV'!$A$1:$W$33</definedName>
    <definedName name="_xlnm.Print_Area" localSheetId="38">'17-HS (Enhance Base)'!$A$1:$X$45</definedName>
    <definedName name="_xlnm.Print_Area" localSheetId="39">'18-HS (Enh-Red Base)'!$A$1:$X$46</definedName>
    <definedName name="_xlnm.Print_Area" localSheetId="40">'19-FG'!$A$1:$W$44</definedName>
    <definedName name="_xlnm.Print_Area" localSheetId="20">'1-DUI (Reduce Base)'!$A$1:$X$54</definedName>
    <definedName name="_xlnm.Print_Area" localSheetId="11">'2 Base Enhancement Dist.'!$A$1:$N$40</definedName>
    <definedName name="_xlnm.Print_Area" localSheetId="21">'3-RD (Reduce Base)'!$A$1:$W$49</definedName>
    <definedName name="_xlnm.Print_Area" localSheetId="13">'4 Bail Forfeiture Dist.'!$A$1:$P$43</definedName>
    <definedName name="_xlnm.Print_Area" localSheetId="22">'4-RRBF'!$A$1:$Y$47</definedName>
    <definedName name="_xlnm.Print_Area" localSheetId="24">'5 Special TVS Dist. '!$A$1:$N$48</definedName>
    <definedName name="_xlnm.Print_Area" localSheetId="23">'5-RRTS (BF &amp; No 2%)'!$A$1:$Y$52</definedName>
    <definedName name="_xlnm.Print_Area" localSheetId="25">'6  Multiple Violations Dist. '!$A$1:$O$49</definedName>
    <definedName name="_xlnm.Print_Area" localSheetId="29">'7-RLTS'!$A$1:$W$52</definedName>
    <definedName name="_xlnm.Print_Area" localSheetId="30">'8-RLBF (No 30%)'!$A$1:$Y$47</definedName>
    <definedName name="_xlnm.Print_Area" localSheetId="31">'9-SpBF'!$A$1:$W$47</definedName>
    <definedName name="_xlnm.Print_Area" localSheetId="2">'Cover Page'!$A$1:$Q$8</definedName>
    <definedName name="_xlnm.Print_Area" localSheetId="9">'Local Penalties'!$A$1:$B$70</definedName>
    <definedName name="_xlnm.Print_Area" localSheetId="14">'TEST SUMMARY'!$B$5:$AM$30</definedName>
    <definedName name="_xlnm.Print_Area" localSheetId="26">'Top Down Method 1'!$A$1:$O$44</definedName>
    <definedName name="_xlnm.Print_Area" localSheetId="27">'Top Down Method 2'!$A$1:$P$43</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32" hidden="1">'11-CSBF'!#REF!,'11-CSBF'!#REF!</definedName>
    <definedName name="Z_07F1F502_9FC7_4878_A746_52E1655BD4FA_.wvu.Cols" localSheetId="33" hidden="1">'12-CSTS (BF &amp; 2%)'!#REF!,'12-CSTS (BF &amp; 2%)'!#REF!</definedName>
    <definedName name="Z_07F1F502_9FC7_4878_A746_52E1655BD4FA_.wvu.Cols" localSheetId="34" hidden="1">'13-UC'!#REF!,'13-UC'!#REF!</definedName>
    <definedName name="Z_07F1F502_9FC7_4878_A746_52E1655BD4FA_.wvu.Cols" localSheetId="35" hidden="1">'14-POC'!#REF!,'14-POC'!#REF!</definedName>
    <definedName name="Z_07F1F502_9FC7_4878_A746_52E1655BD4FA_.wvu.Cols" localSheetId="36" hidden="1">'15-POI (Base Reduce)'!#REF!,'15-POI (Base Reduce)'!#REF!</definedName>
    <definedName name="Z_07F1F502_9FC7_4878_A746_52E1655BD4FA_.wvu.Cols" localSheetId="37" hidden="1">'16-DV'!#REF!,'16-DV'!#REF!</definedName>
    <definedName name="Z_07F1F502_9FC7_4878_A746_52E1655BD4FA_.wvu.Cols" localSheetId="38" hidden="1">'17-HS (Enhance Base)'!#REF!,'17-HS (Enhance Base)'!#REF!</definedName>
    <definedName name="Z_07F1F502_9FC7_4878_A746_52E1655BD4FA_.wvu.Cols" localSheetId="39" hidden="1">'18-HS (Enh-Red Base)'!#REF!,'18-HS (Enh-Red Base)'!#REF!</definedName>
    <definedName name="Z_07F1F502_9FC7_4878_A746_52E1655BD4FA_.wvu.Cols" localSheetId="40" hidden="1">'19-FG'!#REF!,'19-FG'!#REF!</definedName>
    <definedName name="Z_07F1F502_9FC7_4878_A746_52E1655BD4FA_.wvu.Cols" localSheetId="19" hidden="1">'1-DUI (ALT)'!#REF!,'1-DUI (ALT)'!#REF!</definedName>
    <definedName name="Z_07F1F502_9FC7_4878_A746_52E1655BD4FA_.wvu.Cols" localSheetId="20" hidden="1">'1-DUI (Reduce Base)'!#REF!,'1-DUI (Reduce Base)'!#REF!</definedName>
    <definedName name="Z_07F1F502_9FC7_4878_A746_52E1655BD4FA_.wvu.Cols" localSheetId="21" hidden="1">'3-RD (Reduce Base)'!#REF!,'3-RD (Reduce Base)'!#REF!</definedName>
    <definedName name="Z_07F1F502_9FC7_4878_A746_52E1655BD4FA_.wvu.Cols" localSheetId="22" hidden="1">'4-RRBF'!#REF!,'4-RRBF'!#REF!</definedName>
    <definedName name="Z_07F1F502_9FC7_4878_A746_52E1655BD4FA_.wvu.Cols" localSheetId="23" hidden="1">'5-RRTS (BF &amp; No 2%)'!#REF!,'5-RRTS (BF &amp; No 2%)'!#REF!</definedName>
    <definedName name="Z_07F1F502_9FC7_4878_A746_52E1655BD4FA_.wvu.Cols" localSheetId="29" hidden="1">'7-RLTS'!#REF!,'7-RLTS'!#REF!</definedName>
    <definedName name="Z_07F1F502_9FC7_4878_A746_52E1655BD4FA_.wvu.Cols" localSheetId="30" hidden="1">'8-RLBF (No 30%)'!#REF!,'8-RLBF (No 30%)'!#REF!</definedName>
    <definedName name="Z_07F1F502_9FC7_4878_A746_52E1655BD4FA_.wvu.Cols" localSheetId="31" hidden="1">'9-SpBF'!#REF!,'9-SpBF'!#REF!</definedName>
    <definedName name="Z_07F1F502_9FC7_4878_A746_52E1655BD4FA_.wvu.Cols" localSheetId="14" hidden="1">'TEST SUMMARY'!$I:$I,'TEST SUMMARY'!#REF!</definedName>
    <definedName name="Z_07F1F502_9FC7_4878_A746_52E1655BD4FA_.wvu.Cols" localSheetId="3" hidden="1">'Worksheets Included'!#REF!,'Worksheets Included'!#REF!</definedName>
    <definedName name="Z_07F1F502_9FC7_4878_A746_52E1655BD4FA_.wvu.PrintArea" localSheetId="14" hidden="1">'TEST SUMMARY'!$B$5:$AM$30</definedName>
    <definedName name="Z_07F1F502_9FC7_4878_A746_52E1655BD4FA_.wvu.PrintArea" localSheetId="3" hidden="1">'Worksheets Included'!$A$1:$C$20</definedName>
  </definedNames>
  <calcPr calcId="162913"/>
  <customWorkbookViews>
    <customWorkbookView name="Ryan" guid="{07F1F502-9FC7-4878-A746-52E1655BD4FA}" maximized="1" windowWidth="1072" windowHeight="852" tabRatio="973" activeSheetId="76" showComments="commIndAndComment"/>
  </customWorkbookViews>
</workbook>
</file>

<file path=xl/calcChain.xml><?xml version="1.0" encoding="utf-8"?>
<calcChain xmlns="http://schemas.openxmlformats.org/spreadsheetml/2006/main">
  <c r="O10" i="185" l="1"/>
  <c r="D9" i="187"/>
  <c r="D9" i="182"/>
  <c r="K35" i="177"/>
  <c r="K36" i="177"/>
  <c r="K37" i="177"/>
  <c r="K38" i="177"/>
  <c r="K39" i="177"/>
  <c r="K40" i="177"/>
  <c r="K41" i="177"/>
  <c r="K42" i="177"/>
  <c r="J16" i="185" l="1"/>
  <c r="J17" i="185"/>
  <c r="J18" i="185"/>
  <c r="J36" i="185"/>
  <c r="J35" i="185" s="1"/>
  <c r="J37" i="185"/>
  <c r="J38" i="185"/>
  <c r="J39" i="185"/>
  <c r="J41" i="185"/>
  <c r="J42" i="185"/>
  <c r="J43" i="185"/>
  <c r="J44" i="185"/>
  <c r="J45" i="185"/>
  <c r="N43" i="177" l="1"/>
  <c r="I38" i="186"/>
  <c r="I39" i="186"/>
  <c r="M44" i="186" l="1"/>
  <c r="N43" i="186"/>
  <c r="L43" i="186"/>
  <c r="K43" i="186"/>
  <c r="N42" i="186"/>
  <c r="L42" i="186"/>
  <c r="K42" i="186"/>
  <c r="N41" i="186"/>
  <c r="L41" i="186"/>
  <c r="K41" i="186"/>
  <c r="N40" i="186"/>
  <c r="L40" i="186"/>
  <c r="K40" i="186"/>
  <c r="L39" i="186"/>
  <c r="K39" i="186"/>
  <c r="L38" i="186"/>
  <c r="K38" i="186"/>
  <c r="N37" i="186"/>
  <c r="L37" i="186"/>
  <c r="K37" i="186"/>
  <c r="M37" i="186" s="1"/>
  <c r="K36" i="186"/>
  <c r="N36" i="186" s="1"/>
  <c r="L33" i="186"/>
  <c r="B33" i="186"/>
  <c r="L32" i="186"/>
  <c r="M31" i="186"/>
  <c r="J31" i="186"/>
  <c r="L30" i="186"/>
  <c r="K30" i="186"/>
  <c r="L29" i="186"/>
  <c r="M29" i="186" s="1"/>
  <c r="L28" i="186"/>
  <c r="M28" i="186" s="1"/>
  <c r="L27" i="186"/>
  <c r="L26" i="186"/>
  <c r="K26" i="186"/>
  <c r="L25" i="186"/>
  <c r="K25" i="186"/>
  <c r="L24" i="186"/>
  <c r="M24" i="186" s="1"/>
  <c r="L23" i="186"/>
  <c r="M23" i="186" s="1"/>
  <c r="L22" i="186"/>
  <c r="M22" i="186" s="1"/>
  <c r="L21" i="186"/>
  <c r="M21" i="186" s="1"/>
  <c r="L20" i="186"/>
  <c r="L19" i="186"/>
  <c r="M19" i="186" s="1"/>
  <c r="L18" i="186"/>
  <c r="L17" i="186"/>
  <c r="N10" i="186"/>
  <c r="D9" i="186"/>
  <c r="G18" i="186" s="1"/>
  <c r="N6" i="186"/>
  <c r="M37" i="187"/>
  <c r="L37" i="187"/>
  <c r="J37" i="187"/>
  <c r="K37" i="187" s="1"/>
  <c r="L36" i="187"/>
  <c r="M36" i="187" s="1"/>
  <c r="J36" i="187"/>
  <c r="K36" i="187" s="1"/>
  <c r="M35" i="187"/>
  <c r="L35" i="187"/>
  <c r="J35" i="187"/>
  <c r="K35" i="187" s="1"/>
  <c r="M34" i="187"/>
  <c r="L34" i="187"/>
  <c r="J34" i="187"/>
  <c r="K34" i="187" s="1"/>
  <c r="M32" i="187"/>
  <c r="J32" i="187"/>
  <c r="B31" i="187"/>
  <c r="G19" i="187"/>
  <c r="J17" i="187"/>
  <c r="K17" i="187" s="1"/>
  <c r="J16" i="187"/>
  <c r="N10" i="187"/>
  <c r="N6" i="187"/>
  <c r="D10" i="187" s="1"/>
  <c r="D10" i="186" l="1"/>
  <c r="N35" i="187"/>
  <c r="N37" i="187"/>
  <c r="M43" i="186"/>
  <c r="M38" i="186"/>
  <c r="M30" i="186"/>
  <c r="M26" i="186"/>
  <c r="N26" i="186" s="1"/>
  <c r="M42" i="186"/>
  <c r="M41" i="186"/>
  <c r="M40" i="186"/>
  <c r="M25" i="186"/>
  <c r="N25" i="186" s="1"/>
  <c r="L45" i="186"/>
  <c r="I19" i="186"/>
  <c r="I20" i="186"/>
  <c r="D11" i="186"/>
  <c r="I34" i="186"/>
  <c r="K34" i="186" s="1"/>
  <c r="M34" i="186" s="1"/>
  <c r="M39" i="186"/>
  <c r="N39" i="186"/>
  <c r="N38" i="186"/>
  <c r="M36" i="186"/>
  <c r="N34" i="187"/>
  <c r="N36" i="187"/>
  <c r="L33" i="187"/>
  <c r="I19" i="187"/>
  <c r="I32" i="187"/>
  <c r="K32" i="187" s="1"/>
  <c r="I18" i="187"/>
  <c r="D11" i="187"/>
  <c r="K16" i="187"/>
  <c r="D9" i="185"/>
  <c r="O6" i="185"/>
  <c r="D10" i="185" s="1"/>
  <c r="N46" i="185"/>
  <c r="M46" i="185"/>
  <c r="K46" i="185"/>
  <c r="L46" i="185" s="1"/>
  <c r="N45" i="185"/>
  <c r="M45" i="185"/>
  <c r="K45" i="185"/>
  <c r="L45" i="185" s="1"/>
  <c r="N44" i="185"/>
  <c r="M44" i="185"/>
  <c r="K44" i="185"/>
  <c r="L44" i="185" s="1"/>
  <c r="M43" i="185"/>
  <c r="K43" i="185"/>
  <c r="L43" i="185" s="1"/>
  <c r="N42" i="185"/>
  <c r="M42" i="185"/>
  <c r="K42" i="185"/>
  <c r="L42" i="185" s="1"/>
  <c r="M41" i="185"/>
  <c r="K41" i="185"/>
  <c r="L41" i="185" s="1"/>
  <c r="M40" i="185"/>
  <c r="N40" i="185" s="1"/>
  <c r="O40" i="185" s="1"/>
  <c r="K40" i="185"/>
  <c r="L40" i="185" s="1"/>
  <c r="N39" i="185"/>
  <c r="M39" i="185"/>
  <c r="K39" i="185"/>
  <c r="L39" i="185" s="1"/>
  <c r="N38" i="185"/>
  <c r="M38" i="185"/>
  <c r="K38" i="185"/>
  <c r="L38" i="185" s="1"/>
  <c r="N37" i="185"/>
  <c r="M37" i="185"/>
  <c r="K37" i="185"/>
  <c r="L37" i="185" s="1"/>
  <c r="N36" i="185"/>
  <c r="M36" i="185"/>
  <c r="K36" i="185"/>
  <c r="L36" i="185" s="1"/>
  <c r="N34" i="185"/>
  <c r="K34" i="185"/>
  <c r="B33" i="185"/>
  <c r="K31" i="185"/>
  <c r="L31" i="185" s="1"/>
  <c r="K18" i="185"/>
  <c r="L18" i="185" s="1"/>
  <c r="K17" i="185"/>
  <c r="L17" i="185" s="1"/>
  <c r="K16" i="185"/>
  <c r="L16" i="185" s="1"/>
  <c r="O46" i="185" l="1"/>
  <c r="D11" i="185"/>
  <c r="N35" i="186"/>
  <c r="O37" i="185"/>
  <c r="I33" i="186"/>
  <c r="I30" i="186"/>
  <c r="J30" i="186" s="1"/>
  <c r="I27" i="186"/>
  <c r="J27" i="186" s="1"/>
  <c r="I25" i="186"/>
  <c r="J25" i="186" s="1"/>
  <c r="I22" i="186"/>
  <c r="J22" i="186" s="1"/>
  <c r="K27" i="186"/>
  <c r="M27" i="186" s="1"/>
  <c r="I29" i="186"/>
  <c r="J29" i="186" s="1"/>
  <c r="I21" i="186"/>
  <c r="J21" i="186" s="1"/>
  <c r="I28" i="186"/>
  <c r="J28" i="186" s="1"/>
  <c r="I24" i="186"/>
  <c r="J24" i="186" s="1"/>
  <c r="I32" i="186"/>
  <c r="I23" i="186"/>
  <c r="J23" i="186" s="1"/>
  <c r="I26" i="186"/>
  <c r="J26" i="186" s="1"/>
  <c r="J20" i="186"/>
  <c r="K20" i="186"/>
  <c r="M20" i="186" s="1"/>
  <c r="J19" i="186"/>
  <c r="I31" i="187"/>
  <c r="I30" i="187"/>
  <c r="I25" i="187"/>
  <c r="I20" i="187"/>
  <c r="I29" i="187"/>
  <c r="I26" i="187"/>
  <c r="I21" i="187"/>
  <c r="I28" i="187"/>
  <c r="I27" i="187"/>
  <c r="I22" i="187"/>
  <c r="I24" i="187"/>
  <c r="I23" i="187"/>
  <c r="J18" i="187"/>
  <c r="J19" i="187"/>
  <c r="K19" i="187" s="1"/>
  <c r="O36" i="185"/>
  <c r="O45" i="185"/>
  <c r="O38" i="185"/>
  <c r="O39" i="185"/>
  <c r="O42" i="185"/>
  <c r="M35" i="185"/>
  <c r="O44" i="185"/>
  <c r="I19" i="185"/>
  <c r="I34" i="185"/>
  <c r="L34" i="185" s="1"/>
  <c r="I20" i="185"/>
  <c r="N41" i="185"/>
  <c r="O41" i="185" s="1"/>
  <c r="N43" i="185"/>
  <c r="O43" i="185" s="1"/>
  <c r="N41" i="177"/>
  <c r="N39" i="177"/>
  <c r="N38" i="177"/>
  <c r="N37" i="177"/>
  <c r="N25" i="177"/>
  <c r="N24" i="177"/>
  <c r="J32" i="186" l="1"/>
  <c r="K32" i="186"/>
  <c r="M32" i="186" s="1"/>
  <c r="J33" i="186"/>
  <c r="K33" i="186"/>
  <c r="M33" i="186" s="1"/>
  <c r="I35" i="186"/>
  <c r="I33" i="187"/>
  <c r="L15" i="187" s="1"/>
  <c r="J23" i="187"/>
  <c r="K23" i="187" s="1"/>
  <c r="J24" i="187"/>
  <c r="K24" i="187" s="1"/>
  <c r="J21" i="187"/>
  <c r="K21" i="187" s="1"/>
  <c r="J25" i="187"/>
  <c r="K25" i="187" s="1"/>
  <c r="J28" i="187"/>
  <c r="K28" i="187" s="1"/>
  <c r="K18" i="187"/>
  <c r="J22" i="187"/>
  <c r="K22" i="187" s="1"/>
  <c r="J26" i="187"/>
  <c r="K26" i="187" s="1"/>
  <c r="J30" i="187"/>
  <c r="K30" i="187" s="1"/>
  <c r="J20" i="187"/>
  <c r="K20" i="187" s="1"/>
  <c r="J27" i="187"/>
  <c r="K27" i="187" s="1"/>
  <c r="J29" i="187"/>
  <c r="K29" i="187" s="1"/>
  <c r="J31" i="187"/>
  <c r="K31" i="187" s="1"/>
  <c r="K20" i="185"/>
  <c r="L20" i="185" s="1"/>
  <c r="K19" i="185"/>
  <c r="L19" i="185" s="1"/>
  <c r="I28" i="185"/>
  <c r="I23" i="185"/>
  <c r="I30" i="185"/>
  <c r="I27" i="185"/>
  <c r="I22" i="185"/>
  <c r="I33" i="185"/>
  <c r="I32" i="185"/>
  <c r="I29" i="185"/>
  <c r="I25" i="185"/>
  <c r="I24" i="185"/>
  <c r="I26" i="185"/>
  <c r="I21" i="185"/>
  <c r="J45" i="186" l="1"/>
  <c r="K18" i="186" s="1"/>
  <c r="M18" i="186" s="1"/>
  <c r="I40" i="187"/>
  <c r="I47" i="186"/>
  <c r="N15" i="186"/>
  <c r="J39" i="187"/>
  <c r="K38" i="187" s="1"/>
  <c r="K33" i="187"/>
  <c r="L31" i="187"/>
  <c r="L30" i="187"/>
  <c r="L25" i="187"/>
  <c r="L20" i="187"/>
  <c r="L16" i="187"/>
  <c r="L24" i="187"/>
  <c r="L32" i="187"/>
  <c r="N32" i="187" s="1"/>
  <c r="L26" i="187"/>
  <c r="L21" i="187"/>
  <c r="L29" i="187"/>
  <c r="L23" i="187"/>
  <c r="L27" i="187"/>
  <c r="L22" i="187"/>
  <c r="L17" i="187"/>
  <c r="L18" i="187" s="1"/>
  <c r="L28" i="187"/>
  <c r="I35" i="185"/>
  <c r="K32" i="185"/>
  <c r="L32" i="185" s="1"/>
  <c r="K24" i="185"/>
  <c r="L24" i="185" s="1"/>
  <c r="K33" i="185"/>
  <c r="L33" i="185" s="1"/>
  <c r="K23" i="185"/>
  <c r="L23" i="185" s="1"/>
  <c r="K25" i="185"/>
  <c r="L25" i="185" s="1"/>
  <c r="K22" i="185"/>
  <c r="L22" i="185" s="1"/>
  <c r="K28" i="185"/>
  <c r="L28" i="185" s="1"/>
  <c r="K26" i="185"/>
  <c r="L26" i="185" s="1"/>
  <c r="K30" i="185"/>
  <c r="L30" i="185" s="1"/>
  <c r="K21" i="185"/>
  <c r="L21" i="185" s="1"/>
  <c r="K29" i="185"/>
  <c r="L29" i="185" s="1"/>
  <c r="K27" i="185"/>
  <c r="L27" i="185" s="1"/>
  <c r="D9" i="183"/>
  <c r="I49" i="185" l="1"/>
  <c r="J15" i="185"/>
  <c r="K35" i="186"/>
  <c r="K47" i="186" s="1"/>
  <c r="M17" i="186" s="1"/>
  <c r="K40" i="187"/>
  <c r="N31" i="186"/>
  <c r="N22" i="186"/>
  <c r="N19" i="186"/>
  <c r="N24" i="186"/>
  <c r="N20" i="186"/>
  <c r="N29" i="186"/>
  <c r="N21" i="186"/>
  <c r="N18" i="186"/>
  <c r="N34" i="186"/>
  <c r="N33" i="186"/>
  <c r="N30" i="186"/>
  <c r="N27" i="186"/>
  <c r="N23" i="186"/>
  <c r="N32" i="186"/>
  <c r="N28" i="186"/>
  <c r="M18" i="187"/>
  <c r="N18" i="187" s="1"/>
  <c r="M27" i="187"/>
  <c r="N27" i="187" s="1"/>
  <c r="M26" i="187"/>
  <c r="N26" i="187" s="1"/>
  <c r="M20" i="187"/>
  <c r="N20" i="187" s="1"/>
  <c r="M17" i="187"/>
  <c r="N17" i="187" s="1"/>
  <c r="M29" i="187"/>
  <c r="N29" i="187" s="1"/>
  <c r="M24" i="187"/>
  <c r="N24" i="187" s="1"/>
  <c r="M30" i="187"/>
  <c r="N30" i="187" s="1"/>
  <c r="M28" i="187"/>
  <c r="N28" i="187" s="1"/>
  <c r="M23" i="187"/>
  <c r="N23" i="187" s="1"/>
  <c r="M25" i="187"/>
  <c r="N25" i="187" s="1"/>
  <c r="L19" i="187"/>
  <c r="M22" i="187"/>
  <c r="N22" i="187" s="1"/>
  <c r="M21" i="187"/>
  <c r="N21" i="187" s="1"/>
  <c r="M16" i="187"/>
  <c r="M31" i="187"/>
  <c r="N31" i="187" s="1"/>
  <c r="K48" i="185"/>
  <c r="L47" i="185" s="1"/>
  <c r="L35" i="185"/>
  <c r="C32" i="177"/>
  <c r="J19" i="185" l="1"/>
  <c r="J23" i="185"/>
  <c r="J27" i="185"/>
  <c r="J31" i="185"/>
  <c r="J21" i="185"/>
  <c r="J25" i="185"/>
  <c r="J29" i="185"/>
  <c r="J34" i="185"/>
  <c r="J20" i="185"/>
  <c r="J24" i="185"/>
  <c r="J28" i="185"/>
  <c r="J32" i="185"/>
  <c r="J33" i="185"/>
  <c r="J22" i="185"/>
  <c r="J26" i="185"/>
  <c r="J30" i="185"/>
  <c r="M35" i="186"/>
  <c r="M47" i="186" s="1"/>
  <c r="N17" i="186"/>
  <c r="M19" i="187"/>
  <c r="M39" i="187" s="1"/>
  <c r="N38" i="187" s="1"/>
  <c r="N16" i="187"/>
  <c r="L49" i="185"/>
  <c r="J42" i="182"/>
  <c r="N19" i="187" l="1"/>
  <c r="N33" i="187" s="1"/>
  <c r="N40" i="187" s="1"/>
  <c r="O39" i="183"/>
  <c r="N39" i="183"/>
  <c r="L39" i="183"/>
  <c r="M39" i="183" s="1"/>
  <c r="K39" i="183"/>
  <c r="O38" i="183"/>
  <c r="N38" i="183"/>
  <c r="L38" i="183"/>
  <c r="M38" i="183" s="1"/>
  <c r="K38" i="183"/>
  <c r="O37" i="183"/>
  <c r="N37" i="183"/>
  <c r="L37" i="183"/>
  <c r="M37" i="183" s="1"/>
  <c r="K37" i="183"/>
  <c r="O36" i="183"/>
  <c r="N36" i="183"/>
  <c r="L36" i="183"/>
  <c r="M36" i="183" s="1"/>
  <c r="K36" i="183"/>
  <c r="N35" i="183"/>
  <c r="O34" i="183"/>
  <c r="L34" i="183"/>
  <c r="B33" i="183"/>
  <c r="N31" i="183"/>
  <c r="O31" i="183" s="1"/>
  <c r="P31" i="183" s="1"/>
  <c r="J31" i="183"/>
  <c r="K31" i="183" s="1"/>
  <c r="P10" i="183"/>
  <c r="G18" i="183"/>
  <c r="P6" i="183"/>
  <c r="N46" i="182"/>
  <c r="M46" i="182"/>
  <c r="K46" i="182"/>
  <c r="L46" i="182" s="1"/>
  <c r="N45" i="182"/>
  <c r="M45" i="182"/>
  <c r="K45" i="182"/>
  <c r="L45" i="182" s="1"/>
  <c r="J45" i="182"/>
  <c r="N44" i="182"/>
  <c r="M44" i="182"/>
  <c r="K44" i="182"/>
  <c r="L44" i="182" s="1"/>
  <c r="J44" i="182"/>
  <c r="M43" i="182"/>
  <c r="N43" i="182" s="1"/>
  <c r="O43" i="182" s="1"/>
  <c r="K43" i="182"/>
  <c r="L43" i="182" s="1"/>
  <c r="J43" i="182"/>
  <c r="N42" i="182"/>
  <c r="M42" i="182"/>
  <c r="K42" i="182"/>
  <c r="L42" i="182" s="1"/>
  <c r="M41" i="182"/>
  <c r="N41" i="182" s="1"/>
  <c r="K41" i="182"/>
  <c r="L41" i="182" s="1"/>
  <c r="J41" i="182"/>
  <c r="M40" i="182"/>
  <c r="K40" i="182"/>
  <c r="L40" i="182" s="1"/>
  <c r="N39" i="182"/>
  <c r="M39" i="182"/>
  <c r="K39" i="182"/>
  <c r="L39" i="182" s="1"/>
  <c r="J39" i="182"/>
  <c r="N38" i="182"/>
  <c r="M38" i="182"/>
  <c r="K38" i="182"/>
  <c r="L38" i="182" s="1"/>
  <c r="J38" i="182"/>
  <c r="N37" i="182"/>
  <c r="M37" i="182"/>
  <c r="K37" i="182"/>
  <c r="L37" i="182" s="1"/>
  <c r="J37" i="182"/>
  <c r="N36" i="182"/>
  <c r="M36" i="182"/>
  <c r="K36" i="182"/>
  <c r="L36" i="182" s="1"/>
  <c r="J36" i="182"/>
  <c r="N34" i="182"/>
  <c r="K34" i="182"/>
  <c r="B33" i="182"/>
  <c r="K31" i="182"/>
  <c r="L31" i="182" s="1"/>
  <c r="K18" i="182"/>
  <c r="L18" i="182" s="1"/>
  <c r="J18" i="182"/>
  <c r="K17" i="182"/>
  <c r="L17" i="182" s="1"/>
  <c r="J17" i="182"/>
  <c r="K16" i="182"/>
  <c r="J16" i="182"/>
  <c r="O10" i="182"/>
  <c r="O6" i="182"/>
  <c r="D10" i="182" s="1"/>
  <c r="O36" i="182" l="1"/>
  <c r="O37" i="182"/>
  <c r="M35" i="182"/>
  <c r="O45" i="182"/>
  <c r="J35" i="182"/>
  <c r="O44" i="182"/>
  <c r="O46" i="182"/>
  <c r="O42" i="182"/>
  <c r="O38" i="182"/>
  <c r="O39" i="182"/>
  <c r="D10" i="183"/>
  <c r="I34" i="183" s="1"/>
  <c r="M34" i="183" s="1"/>
  <c r="P39" i="183"/>
  <c r="P36" i="183"/>
  <c r="P38" i="183"/>
  <c r="P37" i="183"/>
  <c r="L31" i="183"/>
  <c r="M31" i="183" s="1"/>
  <c r="D11" i="182"/>
  <c r="I20" i="182"/>
  <c r="I34" i="182"/>
  <c r="L34" i="182" s="1"/>
  <c r="I19" i="182"/>
  <c r="L16" i="182"/>
  <c r="O41" i="182"/>
  <c r="N40" i="182"/>
  <c r="O40" i="182" s="1"/>
  <c r="K34" i="183" l="1"/>
  <c r="I20" i="183"/>
  <c r="J20" i="183" s="1"/>
  <c r="K20" i="183" s="1"/>
  <c r="I19" i="183"/>
  <c r="D11" i="183"/>
  <c r="I33" i="183" s="1"/>
  <c r="I33" i="182"/>
  <c r="I32" i="182"/>
  <c r="I25" i="182"/>
  <c r="I24" i="182"/>
  <c r="I22" i="182"/>
  <c r="I26" i="182"/>
  <c r="I28" i="182"/>
  <c r="I27" i="182"/>
  <c r="I29" i="182"/>
  <c r="I30" i="182"/>
  <c r="I21" i="182"/>
  <c r="I23" i="182"/>
  <c r="K19" i="182"/>
  <c r="K20" i="182"/>
  <c r="L20" i="182" s="1"/>
  <c r="J19" i="183" l="1"/>
  <c r="K19" i="183" s="1"/>
  <c r="I35" i="182"/>
  <c r="I49" i="182" s="1"/>
  <c r="I29" i="183"/>
  <c r="J29" i="183" s="1"/>
  <c r="K29" i="183" s="1"/>
  <c r="I26" i="183"/>
  <c r="J26" i="183" s="1"/>
  <c r="K26" i="183" s="1"/>
  <c r="I25" i="183"/>
  <c r="J25" i="183" s="1"/>
  <c r="K25" i="183" s="1"/>
  <c r="I27" i="183"/>
  <c r="J27" i="183" s="1"/>
  <c r="K27" i="183" s="1"/>
  <c r="I30" i="183"/>
  <c r="K30" i="183" s="1"/>
  <c r="L30" i="183" s="1"/>
  <c r="M30" i="183" s="1"/>
  <c r="I23" i="183"/>
  <c r="K23" i="183" s="1"/>
  <c r="L23" i="183" s="1"/>
  <c r="M23" i="183" s="1"/>
  <c r="I32" i="183"/>
  <c r="J32" i="183" s="1"/>
  <c r="K32" i="183" s="1"/>
  <c r="I24" i="183"/>
  <c r="K24" i="183" s="1"/>
  <c r="L24" i="183" s="1"/>
  <c r="M24" i="183" s="1"/>
  <c r="I21" i="183"/>
  <c r="J21" i="183" s="1"/>
  <c r="I28" i="183"/>
  <c r="J28" i="183" s="1"/>
  <c r="K28" i="183" s="1"/>
  <c r="I22" i="183"/>
  <c r="J22" i="183" s="1"/>
  <c r="K22" i="183" s="1"/>
  <c r="J33" i="183"/>
  <c r="K33" i="183" s="1"/>
  <c r="L20" i="183"/>
  <c r="M20" i="183" s="1"/>
  <c r="K28" i="182"/>
  <c r="L28" i="182" s="1"/>
  <c r="K26" i="182"/>
  <c r="L26" i="182" s="1"/>
  <c r="L19" i="182"/>
  <c r="K22" i="182"/>
  <c r="L22" i="182" s="1"/>
  <c r="K23" i="182"/>
  <c r="L23" i="182" s="1"/>
  <c r="K24" i="182"/>
  <c r="L24" i="182" s="1"/>
  <c r="K21" i="182"/>
  <c r="L21" i="182" s="1"/>
  <c r="K25" i="182"/>
  <c r="L25" i="182" s="1"/>
  <c r="K30" i="182"/>
  <c r="L30" i="182" s="1"/>
  <c r="K32" i="182"/>
  <c r="L32" i="182" s="1"/>
  <c r="K29" i="182"/>
  <c r="L29" i="182" s="1"/>
  <c r="K33" i="182"/>
  <c r="L33" i="182" s="1"/>
  <c r="K27" i="182"/>
  <c r="L27" i="182" s="1"/>
  <c r="L19" i="183" l="1"/>
  <c r="M19" i="183"/>
  <c r="J15" i="182"/>
  <c r="J22" i="182" s="1"/>
  <c r="L35" i="182"/>
  <c r="I35" i="183"/>
  <c r="I42" i="183" s="1"/>
  <c r="J41" i="183"/>
  <c r="K18" i="183" s="1"/>
  <c r="K21" i="183"/>
  <c r="L21" i="183" s="1"/>
  <c r="L25" i="183"/>
  <c r="M25" i="183" s="1"/>
  <c r="L32" i="183"/>
  <c r="M32" i="183" s="1"/>
  <c r="L29" i="183"/>
  <c r="M29" i="183" s="1"/>
  <c r="L33" i="183"/>
  <c r="M33" i="183" s="1"/>
  <c r="L27" i="183"/>
  <c r="M27" i="183" s="1"/>
  <c r="L26" i="183"/>
  <c r="M26" i="183" s="1"/>
  <c r="L28" i="183"/>
  <c r="M28" i="183" s="1"/>
  <c r="L22" i="183"/>
  <c r="M22" i="183" s="1"/>
  <c r="K48" i="182"/>
  <c r="L47" i="182" s="1"/>
  <c r="J19" i="182" l="1"/>
  <c r="J27" i="182"/>
  <c r="J33" i="182"/>
  <c r="J29" i="182"/>
  <c r="J28" i="182"/>
  <c r="J21" i="182"/>
  <c r="J24" i="182"/>
  <c r="J26" i="182"/>
  <c r="J25" i="182"/>
  <c r="J30" i="182"/>
  <c r="J31" i="182"/>
  <c r="J34" i="182"/>
  <c r="J23" i="182"/>
  <c r="J32" i="182"/>
  <c r="J20" i="182"/>
  <c r="L49" i="182"/>
  <c r="K35" i="183"/>
  <c r="M21" i="183"/>
  <c r="L18" i="183"/>
  <c r="M18" i="183" s="1"/>
  <c r="K42" i="183" l="1"/>
  <c r="N15" i="183"/>
  <c r="M35" i="183"/>
  <c r="L41" i="183"/>
  <c r="M40" i="183" s="1"/>
  <c r="N33" i="183" l="1"/>
  <c r="O33" i="183" s="1"/>
  <c r="P33" i="183" s="1"/>
  <c r="N28" i="183"/>
  <c r="O28" i="183" s="1"/>
  <c r="P28" i="183" s="1"/>
  <c r="N24" i="183"/>
  <c r="O24" i="183" s="1"/>
  <c r="P24" i="183" s="1"/>
  <c r="N20" i="183"/>
  <c r="N26" i="183"/>
  <c r="O26" i="183" s="1"/>
  <c r="P26" i="183" s="1"/>
  <c r="N18" i="183"/>
  <c r="N32" i="183"/>
  <c r="O32" i="183" s="1"/>
  <c r="P32" i="183" s="1"/>
  <c r="N30" i="183"/>
  <c r="O30" i="183" s="1"/>
  <c r="P30" i="183" s="1"/>
  <c r="N27" i="183"/>
  <c r="O27" i="183" s="1"/>
  <c r="P27" i="183" s="1"/>
  <c r="N23" i="183"/>
  <c r="N19" i="183"/>
  <c r="O19" i="183" s="1"/>
  <c r="P19" i="183" s="1"/>
  <c r="N34" i="183"/>
  <c r="P34" i="183" s="1"/>
  <c r="N22" i="183"/>
  <c r="O22" i="183" s="1"/>
  <c r="P22" i="183" s="1"/>
  <c r="N29" i="183"/>
  <c r="O29" i="183" s="1"/>
  <c r="P29" i="183" s="1"/>
  <c r="N25" i="183"/>
  <c r="N21" i="183"/>
  <c r="M42" i="183"/>
  <c r="O23" i="183" l="1"/>
  <c r="P23" i="183" s="1"/>
  <c r="O18" i="183"/>
  <c r="P18" i="183" s="1"/>
  <c r="O21" i="183"/>
  <c r="P21" i="183" s="1"/>
  <c r="O20" i="183"/>
  <c r="P20" i="183" s="1"/>
  <c r="O25" i="183"/>
  <c r="P25" i="183" s="1"/>
  <c r="P35" i="183" l="1"/>
  <c r="O41" i="183"/>
  <c r="P40" i="183" s="1"/>
  <c r="M43" i="177"/>
  <c r="P42" i="183" l="1"/>
  <c r="L42" i="177" l="1"/>
  <c r="N42" i="177"/>
  <c r="L41" i="177"/>
  <c r="M41" i="177" s="1"/>
  <c r="L39" i="177"/>
  <c r="M39" i="177" s="1"/>
  <c r="L38" i="177"/>
  <c r="L37" i="177"/>
  <c r="L36" i="177"/>
  <c r="N36" i="177"/>
  <c r="L35" i="177"/>
  <c r="N35" i="177"/>
  <c r="L32" i="177"/>
  <c r="L31" i="177"/>
  <c r="L30" i="177"/>
  <c r="M30" i="177" s="1"/>
  <c r="L29" i="177"/>
  <c r="L28" i="177"/>
  <c r="M28" i="177" s="1"/>
  <c r="L27" i="177"/>
  <c r="M27" i="177" s="1"/>
  <c r="L26" i="177"/>
  <c r="L25" i="177"/>
  <c r="K25" i="177"/>
  <c r="L24" i="177"/>
  <c r="K24" i="177"/>
  <c r="L23" i="177"/>
  <c r="M23" i="177" s="1"/>
  <c r="L22" i="177"/>
  <c r="M22" i="177" s="1"/>
  <c r="L21" i="177"/>
  <c r="M21" i="177" s="1"/>
  <c r="L20" i="177"/>
  <c r="M20" i="177" s="1"/>
  <c r="L19" i="177"/>
  <c r="L18" i="177"/>
  <c r="M18" i="177" s="1"/>
  <c r="L17" i="177"/>
  <c r="N10" i="177"/>
  <c r="E9" i="177"/>
  <c r="N6" i="177"/>
  <c r="M40" i="177" l="1"/>
  <c r="N40" i="177"/>
  <c r="N34" i="177" s="1"/>
  <c r="M36" i="177"/>
  <c r="M38" i="177"/>
  <c r="M35" i="177"/>
  <c r="M37" i="177"/>
  <c r="E10" i="177"/>
  <c r="E11" i="177" s="1"/>
  <c r="J21" i="177" s="1"/>
  <c r="M42" i="177"/>
  <c r="M24" i="177"/>
  <c r="M25" i="177"/>
  <c r="L34" i="177"/>
  <c r="L44" i="177" s="1"/>
  <c r="J33" i="177" l="1"/>
  <c r="K33" i="177" s="1"/>
  <c r="J19" i="177"/>
  <c r="K19" i="177" s="1"/>
  <c r="J18" i="177"/>
  <c r="K26" i="177"/>
  <c r="M26" i="177" s="1"/>
  <c r="J28" i="177"/>
  <c r="J26" i="177"/>
  <c r="J32" i="177"/>
  <c r="K32" i="177" s="1"/>
  <c r="M32" i="177" s="1"/>
  <c r="J22" i="177"/>
  <c r="J27" i="177"/>
  <c r="J23" i="177"/>
  <c r="J29" i="177"/>
  <c r="K29" i="177"/>
  <c r="M29" i="177" s="1"/>
  <c r="J25" i="177"/>
  <c r="J24" i="177"/>
  <c r="J20" i="177"/>
  <c r="J31" i="177"/>
  <c r="K31" i="177" s="1"/>
  <c r="M31" i="177" s="1"/>
  <c r="O40" i="176"/>
  <c r="K40" i="176"/>
  <c r="L40" i="176" s="1"/>
  <c r="O39" i="176"/>
  <c r="K39" i="176"/>
  <c r="L39" i="176" s="1"/>
  <c r="O38" i="176"/>
  <c r="K38" i="176"/>
  <c r="L38" i="176" s="1"/>
  <c r="O37" i="176"/>
  <c r="K37" i="176"/>
  <c r="L37" i="176" s="1"/>
  <c r="O36" i="176"/>
  <c r="K36" i="176"/>
  <c r="L36" i="176" s="1"/>
  <c r="O34" i="176"/>
  <c r="K34" i="176"/>
  <c r="C33" i="176"/>
  <c r="K31" i="176"/>
  <c r="L31" i="176" s="1"/>
  <c r="P10" i="176"/>
  <c r="E9" i="176"/>
  <c r="P6" i="176"/>
  <c r="N40" i="175"/>
  <c r="M40" i="175"/>
  <c r="J40" i="175"/>
  <c r="K40" i="175" s="1"/>
  <c r="N39" i="175"/>
  <c r="M39" i="175"/>
  <c r="J39" i="175"/>
  <c r="K39" i="175" s="1"/>
  <c r="N38" i="175"/>
  <c r="M38" i="175"/>
  <c r="J38" i="175"/>
  <c r="K38" i="175" s="1"/>
  <c r="N37" i="175"/>
  <c r="M37" i="175"/>
  <c r="J37" i="175"/>
  <c r="K37" i="175" s="1"/>
  <c r="N36" i="175"/>
  <c r="M36" i="175"/>
  <c r="J36" i="175"/>
  <c r="K36" i="175" s="1"/>
  <c r="N34" i="175"/>
  <c r="J34" i="175"/>
  <c r="B33" i="175"/>
  <c r="M31" i="175"/>
  <c r="J31" i="175"/>
  <c r="K31" i="175" s="1"/>
  <c r="O10" i="175"/>
  <c r="D9" i="175"/>
  <c r="O6" i="175"/>
  <c r="M33" i="177" l="1"/>
  <c r="N33" i="177"/>
  <c r="M19" i="177"/>
  <c r="J34" i="177"/>
  <c r="N15" i="177" s="1"/>
  <c r="O38" i="175"/>
  <c r="E10" i="176"/>
  <c r="J34" i="176" s="1"/>
  <c r="L34" i="176" s="1"/>
  <c r="O39" i="175"/>
  <c r="O40" i="175"/>
  <c r="O36" i="175"/>
  <c r="O37" i="175"/>
  <c r="D10" i="175"/>
  <c r="M35" i="175"/>
  <c r="N31" i="175"/>
  <c r="O31" i="175" s="1"/>
  <c r="J46" i="177" l="1"/>
  <c r="K17" i="177" s="1"/>
  <c r="K34" i="177" s="1"/>
  <c r="J20" i="176"/>
  <c r="E11" i="176"/>
  <c r="J29" i="176" s="1"/>
  <c r="J19" i="176"/>
  <c r="K19" i="176" s="1"/>
  <c r="L19" i="176" s="1"/>
  <c r="K20" i="176"/>
  <c r="L20" i="176" s="1"/>
  <c r="I20" i="175"/>
  <c r="D11" i="175"/>
  <c r="I34" i="175"/>
  <c r="I19" i="175"/>
  <c r="J22" i="176" l="1"/>
  <c r="J23" i="176"/>
  <c r="K23" i="176" s="1"/>
  <c r="L23" i="176" s="1"/>
  <c r="J28" i="176"/>
  <c r="K28" i="176" s="1"/>
  <c r="L28" i="176" s="1"/>
  <c r="J33" i="176"/>
  <c r="J26" i="176"/>
  <c r="K26" i="176" s="1"/>
  <c r="L26" i="176" s="1"/>
  <c r="J30" i="176"/>
  <c r="K30" i="176" s="1"/>
  <c r="L30" i="176" s="1"/>
  <c r="J21" i="176"/>
  <c r="J24" i="176"/>
  <c r="K24" i="176" s="1"/>
  <c r="L24" i="176" s="1"/>
  <c r="J27" i="176"/>
  <c r="J32" i="176"/>
  <c r="K32" i="176" s="1"/>
  <c r="L32" i="176" s="1"/>
  <c r="J25" i="176"/>
  <c r="K25" i="176" s="1"/>
  <c r="L25" i="176" s="1"/>
  <c r="K33" i="176"/>
  <c r="L33" i="176" s="1"/>
  <c r="K22" i="176"/>
  <c r="L22" i="176" s="1"/>
  <c r="K29" i="176"/>
  <c r="L29" i="176" s="1"/>
  <c r="K21" i="176"/>
  <c r="L21" i="176" s="1"/>
  <c r="K27" i="176"/>
  <c r="L27" i="176" s="1"/>
  <c r="I25" i="175"/>
  <c r="I24" i="175"/>
  <c r="I30" i="175"/>
  <c r="I29" i="175"/>
  <c r="I28" i="175"/>
  <c r="I23" i="175"/>
  <c r="I26" i="175"/>
  <c r="I21" i="175"/>
  <c r="I33" i="175"/>
  <c r="I32" i="175"/>
  <c r="I27" i="175"/>
  <c r="I22" i="175"/>
  <c r="J20" i="175"/>
  <c r="K20" i="175" s="1"/>
  <c r="J19" i="175"/>
  <c r="K34" i="175"/>
  <c r="J35" i="176" l="1"/>
  <c r="J43" i="176" s="1"/>
  <c r="N15" i="176" s="1"/>
  <c r="N23" i="176" s="1"/>
  <c r="O23" i="176" s="1"/>
  <c r="P23" i="176" s="1"/>
  <c r="K42" i="176"/>
  <c r="L41" i="176" s="1"/>
  <c r="L35" i="176"/>
  <c r="J27" i="175"/>
  <c r="K27" i="175" s="1"/>
  <c r="J26" i="175"/>
  <c r="K26" i="175" s="1"/>
  <c r="J30" i="175"/>
  <c r="K30" i="175" s="1"/>
  <c r="K19" i="175"/>
  <c r="J32" i="175"/>
  <c r="K32" i="175" s="1"/>
  <c r="J23" i="175"/>
  <c r="J24" i="175"/>
  <c r="K24" i="175" s="1"/>
  <c r="J33" i="175"/>
  <c r="K33" i="175" s="1"/>
  <c r="J28" i="175"/>
  <c r="K28" i="175" s="1"/>
  <c r="J25" i="175"/>
  <c r="K25" i="175" s="1"/>
  <c r="I35" i="175"/>
  <c r="J22" i="175"/>
  <c r="K22" i="175" s="1"/>
  <c r="J21" i="175"/>
  <c r="K21" i="175" s="1"/>
  <c r="J29" i="175"/>
  <c r="K29" i="175" s="1"/>
  <c r="N29" i="176" l="1"/>
  <c r="O29" i="176" s="1"/>
  <c r="P29" i="176" s="1"/>
  <c r="N26" i="176"/>
  <c r="O26" i="176" s="1"/>
  <c r="P26" i="176" s="1"/>
  <c r="N28" i="176"/>
  <c r="O28" i="176" s="1"/>
  <c r="P28" i="176" s="1"/>
  <c r="N32" i="176"/>
  <c r="O32" i="176" s="1"/>
  <c r="P32" i="176" s="1"/>
  <c r="N31" i="176"/>
  <c r="O31" i="176" s="1"/>
  <c r="P31" i="176" s="1"/>
  <c r="N27" i="176"/>
  <c r="O27" i="176" s="1"/>
  <c r="P27" i="176" s="1"/>
  <c r="N34" i="176"/>
  <c r="P34" i="176" s="1"/>
  <c r="N33" i="176"/>
  <c r="O33" i="176" s="1"/>
  <c r="P33" i="176" s="1"/>
  <c r="N37" i="176"/>
  <c r="P37" i="176" s="1"/>
  <c r="N40" i="176"/>
  <c r="P40" i="176" s="1"/>
  <c r="N39" i="176"/>
  <c r="P39" i="176" s="1"/>
  <c r="N38" i="176"/>
  <c r="P38" i="176" s="1"/>
  <c r="N20" i="176"/>
  <c r="O20" i="176" s="1"/>
  <c r="P20" i="176" s="1"/>
  <c r="N25" i="176"/>
  <c r="O25" i="176" s="1"/>
  <c r="P25" i="176" s="1"/>
  <c r="N22" i="176"/>
  <c r="O22" i="176" s="1"/>
  <c r="P22" i="176" s="1"/>
  <c r="N19" i="176"/>
  <c r="O19" i="176" s="1"/>
  <c r="P19" i="176" s="1"/>
  <c r="N24" i="176"/>
  <c r="O24" i="176" s="1"/>
  <c r="P24" i="176" s="1"/>
  <c r="N21" i="176"/>
  <c r="O21" i="176" s="1"/>
  <c r="P21" i="176" s="1"/>
  <c r="N36" i="176"/>
  <c r="P36" i="176" s="1"/>
  <c r="N30" i="176"/>
  <c r="O30" i="176" s="1"/>
  <c r="P30" i="176" s="1"/>
  <c r="L43" i="176"/>
  <c r="J42" i="175"/>
  <c r="K41" i="175" s="1"/>
  <c r="K23" i="175"/>
  <c r="I43" i="175"/>
  <c r="M15" i="175"/>
  <c r="M19" i="175" s="1"/>
  <c r="N35" i="176" l="1"/>
  <c r="P35" i="176"/>
  <c r="O42" i="176"/>
  <c r="P41" i="176" s="1"/>
  <c r="M34" i="175"/>
  <c r="O34" i="175" s="1"/>
  <c r="M20" i="175"/>
  <c r="M25" i="175"/>
  <c r="M29" i="175"/>
  <c r="M32" i="175"/>
  <c r="M24" i="175"/>
  <c r="M27" i="175"/>
  <c r="M26" i="175"/>
  <c r="M23" i="175"/>
  <c r="M33" i="175"/>
  <c r="M21" i="175"/>
  <c r="M30" i="175"/>
  <c r="M28" i="175"/>
  <c r="M22" i="175"/>
  <c r="K35" i="175"/>
  <c r="K43" i="175" s="1"/>
  <c r="P43" i="176" l="1"/>
  <c r="N21" i="175"/>
  <c r="O21" i="175" s="1"/>
  <c r="N25" i="175"/>
  <c r="O25" i="175" s="1"/>
  <c r="N33" i="175"/>
  <c r="O33" i="175" s="1"/>
  <c r="N24" i="175"/>
  <c r="O24" i="175" s="1"/>
  <c r="N19" i="175"/>
  <c r="O19" i="175" s="1"/>
  <c r="N28" i="175"/>
  <c r="O28" i="175" s="1"/>
  <c r="N23" i="175"/>
  <c r="O23" i="175" s="1"/>
  <c r="N32" i="175"/>
  <c r="O32" i="175" s="1"/>
  <c r="N20" i="175"/>
  <c r="O20" i="175" s="1"/>
  <c r="N27" i="175"/>
  <c r="O27" i="175" s="1"/>
  <c r="N22" i="175"/>
  <c r="O22" i="175" s="1"/>
  <c r="N30" i="175"/>
  <c r="O30" i="175" s="1"/>
  <c r="N26" i="175"/>
  <c r="O26" i="175" s="1"/>
  <c r="N29" i="175"/>
  <c r="O29" i="175" s="1"/>
  <c r="O35" i="175" l="1"/>
  <c r="N42" i="175"/>
  <c r="O41" i="175" s="1"/>
  <c r="O43" i="175" l="1"/>
  <c r="B28" i="138" l="1"/>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O11" i="185" l="1"/>
  <c r="E25" i="185" s="1"/>
  <c r="N11" i="187"/>
  <c r="E24" i="187" s="1"/>
  <c r="N11" i="186"/>
  <c r="E25" i="186" s="1"/>
  <c r="O11" i="182"/>
  <c r="E25" i="182" s="1"/>
  <c r="P11" i="183"/>
  <c r="E25" i="183" s="1"/>
  <c r="N11" i="177"/>
  <c r="F24" i="177" s="1"/>
  <c r="P11" i="157"/>
  <c r="P11" i="158" s="1"/>
  <c r="E25" i="158" s="1"/>
  <c r="P11" i="176"/>
  <c r="F25" i="176" s="1"/>
  <c r="O11" i="175"/>
  <c r="E25" i="175"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AA7"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Z9" i="136" l="1"/>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S31" i="9"/>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R19" i="119"/>
  <c r="Q19" i="119"/>
  <c r="S19" i="119" s="1"/>
  <c r="J19" i="119"/>
  <c r="K19" i="119" s="1"/>
  <c r="U19" i="119" s="1"/>
  <c r="R18" i="119"/>
  <c r="Q18" i="119"/>
  <c r="J18" i="119"/>
  <c r="Q15" i="119"/>
  <c r="D4" i="119"/>
  <c r="D21" i="9" s="1"/>
  <c r="K20" i="119"/>
  <c r="U20" i="119" s="1"/>
  <c r="V7" i="9"/>
  <c r="U7" i="9"/>
  <c r="T7" i="9"/>
  <c r="AL18" i="9"/>
  <c r="AL16"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M38" i="98" s="1"/>
  <c r="U38" i="98" s="1"/>
  <c r="L37" i="98"/>
  <c r="K37" i="98"/>
  <c r="K26" i="98"/>
  <c r="K25" i="98"/>
  <c r="O10" i="98"/>
  <c r="D9" i="98"/>
  <c r="G18" i="98" s="1"/>
  <c r="O6" i="98"/>
  <c r="D4" i="98"/>
  <c r="D14" i="9" s="1"/>
  <c r="E25" i="52"/>
  <c r="K17" i="52"/>
  <c r="L17" i="52" s="1"/>
  <c r="R17" i="52" s="1"/>
  <c r="K18" i="52"/>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c r="N10" i="52"/>
  <c r="D10" i="52" s="1"/>
  <c r="N6" i="52"/>
  <c r="J17" i="52"/>
  <c r="J18" i="52"/>
  <c r="L18" i="52"/>
  <c r="R18" i="52" s="1"/>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D10" i="124" l="1"/>
  <c r="V8" i="52"/>
  <c r="V7" i="52"/>
  <c r="G34" i="9"/>
  <c r="H34" i="9"/>
  <c r="I20" i="52"/>
  <c r="D11" i="52"/>
  <c r="I32" i="52"/>
  <c r="L32" i="52" s="1"/>
  <c r="R32" i="52" s="1"/>
  <c r="I19" i="52"/>
  <c r="K19" i="52" s="1"/>
  <c r="K34" i="9"/>
  <c r="D10" i="121"/>
  <c r="D11" i="121" s="1"/>
  <c r="I31" i="121" s="1"/>
  <c r="K40" i="136"/>
  <c r="U40" i="136" s="1"/>
  <c r="M32" i="121"/>
  <c r="W32" i="121" s="1"/>
  <c r="D10" i="106"/>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D11" i="106"/>
  <c r="I28" i="106" s="1"/>
  <c r="I19" i="106"/>
  <c r="J19" i="106" s="1"/>
  <c r="K19" i="106" s="1"/>
  <c r="S41" i="104"/>
  <c r="U41" i="104" s="1"/>
  <c r="S39" i="114"/>
  <c r="S40" i="114"/>
  <c r="S45" i="136"/>
  <c r="S37" i="136"/>
  <c r="S42" i="136"/>
  <c r="S38" i="136"/>
  <c r="S40" i="136"/>
  <c r="R31" i="124"/>
  <c r="S31" i="124" s="1"/>
  <c r="S38" i="124"/>
  <c r="U37" i="154"/>
  <c r="U38" i="154"/>
  <c r="AC8" i="154" s="1"/>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Z5" i="120"/>
  <c r="L31" i="106"/>
  <c r="M31" i="106" s="1"/>
  <c r="W31" i="106" s="1"/>
  <c r="Z8" i="98"/>
  <c r="I18" i="124"/>
  <c r="I19" i="124"/>
  <c r="I20" i="124"/>
  <c r="D11" i="124"/>
  <c r="I34" i="124"/>
  <c r="K34" i="124" s="1"/>
  <c r="U34" i="124" s="1"/>
  <c r="J18" i="136"/>
  <c r="K18" i="136" s="1"/>
  <c r="K20" i="52"/>
  <c r="R16" i="52"/>
  <c r="I20" i="154"/>
  <c r="K20" i="154" s="1"/>
  <c r="I34" i="154"/>
  <c r="D11" i="154"/>
  <c r="AB8" i="121"/>
  <c r="Z8" i="142"/>
  <c r="U38" i="114"/>
  <c r="AA8" i="98"/>
  <c r="I34" i="106"/>
  <c r="K34" i="106" s="1"/>
  <c r="M34" i="106" s="1"/>
  <c r="S42" i="104"/>
  <c r="U42" i="104" s="1"/>
  <c r="R31" i="110"/>
  <c r="S31" i="110" s="1"/>
  <c r="S36" i="104"/>
  <c r="U36" i="104" s="1"/>
  <c r="I20" i="136"/>
  <c r="R31" i="114"/>
  <c r="S31" i="114" s="1"/>
  <c r="Z8" i="119"/>
  <c r="AA8" i="119"/>
  <c r="I19" i="136"/>
  <c r="U37" i="104"/>
  <c r="Z8" i="104"/>
  <c r="I33" i="104"/>
  <c r="K33" i="104" s="1"/>
  <c r="I18" i="104"/>
  <c r="S30" i="104"/>
  <c r="U30" i="104" s="1"/>
  <c r="I26" i="136" l="1"/>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I22"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Z7" i="124" l="1"/>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3" i="114"/>
  <c r="K23" i="114" s="1"/>
  <c r="U23"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J22" i="110"/>
  <c r="K22" i="110" s="1"/>
  <c r="U22" i="110" s="1"/>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K46" i="177" l="1"/>
  <c r="M17" i="177" s="1"/>
  <c r="M34" i="177" s="1"/>
  <c r="M46" i="177" l="1"/>
  <c r="N20" i="177" l="1"/>
  <c r="N18" i="177"/>
  <c r="N17" i="177"/>
  <c r="N26" i="177"/>
  <c r="N27" i="177"/>
  <c r="N28" i="177"/>
  <c r="N21" i="177"/>
  <c r="N19" i="177"/>
  <c r="N31" i="177"/>
  <c r="N32" i="177"/>
  <c r="N23" i="177"/>
  <c r="N30" i="177"/>
  <c r="N29" i="177"/>
  <c r="N22" i="177"/>
  <c r="M28" i="185" l="1"/>
  <c r="N28" i="185" s="1"/>
  <c r="O28" i="185" s="1"/>
  <c r="M25" i="185"/>
  <c r="M23" i="185"/>
  <c r="M17" i="185"/>
  <c r="N17" i="185" s="1"/>
  <c r="M19" i="185"/>
  <c r="M33" i="185"/>
  <c r="N33" i="185" s="1"/>
  <c r="M22" i="185"/>
  <c r="N22" i="185" s="1"/>
  <c r="M27" i="185"/>
  <c r="M21" i="185"/>
  <c r="N21" i="185" s="1"/>
  <c r="O21" i="185" s="1"/>
  <c r="M20" i="185"/>
  <c r="M26" i="185"/>
  <c r="N26" i="185" s="1"/>
  <c r="O26" i="185" s="1"/>
  <c r="M30" i="185"/>
  <c r="N30" i="185" s="1"/>
  <c r="M24" i="185"/>
  <c r="N24" i="185" s="1"/>
  <c r="O24" i="185" s="1"/>
  <c r="M18" i="185"/>
  <c r="N18" i="185" s="1"/>
  <c r="M29" i="185"/>
  <c r="N29" i="185" s="1"/>
  <c r="O29" i="185" s="1"/>
  <c r="M32" i="185"/>
  <c r="M34" i="185"/>
  <c r="O34" i="185" s="1"/>
  <c r="M31" i="185"/>
  <c r="M16" i="185"/>
  <c r="N31" i="185" l="1"/>
  <c r="M15" i="185"/>
  <c r="N23" i="185"/>
  <c r="O23" i="185" s="1"/>
  <c r="O22" i="185"/>
  <c r="N16" i="185"/>
  <c r="O16" i="185" s="1"/>
  <c r="N19" i="185"/>
  <c r="O19" i="185" s="1"/>
  <c r="N32" i="185"/>
  <c r="O32" i="185" s="1"/>
  <c r="O18" i="185"/>
  <c r="O30" i="185"/>
  <c r="N20" i="185"/>
  <c r="N27" i="185"/>
  <c r="O27" i="185" s="1"/>
  <c r="O33" i="185"/>
  <c r="O17" i="185"/>
  <c r="O31" i="185"/>
  <c r="N25" i="185"/>
  <c r="O25" i="185" s="1"/>
  <c r="N48" i="185" l="1"/>
  <c r="O47" i="185" s="1"/>
  <c r="O20" i="185"/>
  <c r="O35" i="185" s="1"/>
  <c r="M18" i="182"/>
  <c r="M20" i="182"/>
  <c r="M28" i="182"/>
  <c r="N28" i="182" s="1"/>
  <c r="O28" i="182" s="1"/>
  <c r="M23" i="182"/>
  <c r="N23" i="182" s="1"/>
  <c r="M19" i="182"/>
  <c r="N19" i="182" s="1"/>
  <c r="M26" i="182"/>
  <c r="N26" i="182" s="1"/>
  <c r="O26" i="182" s="1"/>
  <c r="M25" i="182"/>
  <c r="N25" i="182" s="1"/>
  <c r="M34" i="182"/>
  <c r="O34" i="182" s="1"/>
  <c r="M27" i="182"/>
  <c r="N27" i="182" s="1"/>
  <c r="O27" i="182" s="1"/>
  <c r="M32" i="182"/>
  <c r="M22" i="182"/>
  <c r="M33" i="182"/>
  <c r="M21" i="182"/>
  <c r="M17" i="182"/>
  <c r="N17" i="182" s="1"/>
  <c r="O17" i="182" s="1"/>
  <c r="M24" i="182"/>
  <c r="M30" i="182"/>
  <c r="N30" i="182" s="1"/>
  <c r="O30" i="182" s="1"/>
  <c r="M29" i="182"/>
  <c r="N29" i="182" s="1"/>
  <c r="M31" i="182"/>
  <c r="N31" i="182" s="1"/>
  <c r="O31" i="182" s="1"/>
  <c r="M16" i="182"/>
  <c r="N16" i="182" s="1"/>
  <c r="O49" i="185" l="1"/>
  <c r="M15" i="182"/>
  <c r="N33" i="182"/>
  <c r="O33" i="182" s="1"/>
  <c r="O29" i="182"/>
  <c r="N24" i="182"/>
  <c r="O24" i="182" s="1"/>
  <c r="N21" i="182"/>
  <c r="O21" i="182" s="1"/>
  <c r="N22" i="182"/>
  <c r="O22" i="182" s="1"/>
  <c r="N32" i="182"/>
  <c r="O32" i="182" s="1"/>
  <c r="O25" i="182"/>
  <c r="O19" i="182"/>
  <c r="O23" i="182"/>
  <c r="N20" i="182"/>
  <c r="O20" i="182" s="1"/>
  <c r="N18" i="182"/>
  <c r="O16" i="182"/>
  <c r="N48" i="182" l="1"/>
  <c r="O47" i="182" s="1"/>
  <c r="O18" i="182"/>
  <c r="O35" i="182" s="1"/>
  <c r="O49" i="182" l="1"/>
</calcChain>
</file>

<file path=xl/comments1.xml><?xml version="1.0" encoding="utf-8"?>
<comments xmlns="http://schemas.openxmlformats.org/spreadsheetml/2006/main">
  <authors>
    <author>Ryan Mendoza</author>
  </authors>
  <commentList>
    <comment ref="E11" authorId="0" shapeId="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2" authorId="1" shapeId="0">
      <text>
        <r>
          <rPr>
            <b/>
            <sz val="10"/>
            <color indexed="81"/>
            <rFont val="Tahoma"/>
            <family val="2"/>
          </rPr>
          <t>ASSESSED FOR EVERY CONVICTION OF VC VIOLATION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8"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2.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3.xml><?xml version="1.0" encoding="utf-8"?>
<comments xmlns="http://schemas.openxmlformats.org/spreadsheetml/2006/main">
  <authors>
    <author>Ryan Mendoza</author>
    <author>AOC User</author>
    <author>rcabral</author>
  </authors>
  <commentLis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14.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15.xml><?xml version="1.0" encoding="utf-8"?>
<comments xmlns="http://schemas.openxmlformats.org/spreadsheetml/2006/main">
  <authors>
    <author>Ryan Mendoza</author>
    <author>AOC User</author>
  </authors>
  <commentList>
    <comment ref="E8" authorId="0" shapeId="0">
      <text>
        <r>
          <rPr>
            <b/>
            <sz val="8"/>
            <color indexed="81"/>
            <rFont val="Tahoma"/>
            <family val="2"/>
          </rPr>
          <t>If CITY ARREST, Enter County % under PC 1463.002 list. Else, enter 100.</t>
        </r>
        <r>
          <rPr>
            <sz val="8"/>
            <color indexed="81"/>
            <rFont val="Tahoma"/>
            <family val="2"/>
          </rPr>
          <t xml:space="preserve">
</t>
        </r>
      </text>
    </comment>
    <comment ref="D31"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 ref="D37" authorId="1" shapeId="0">
      <text>
        <r>
          <rPr>
            <b/>
            <sz val="10"/>
            <color indexed="81"/>
            <rFont val="Tahoma"/>
            <family val="2"/>
          </rPr>
          <t>ASSESSED FOR EVERY CONVICTION</t>
        </r>
        <r>
          <rPr>
            <sz val="10"/>
            <color indexed="81"/>
            <rFont val="Tahoma"/>
            <family val="2"/>
          </rPr>
          <t xml:space="preserve">
</t>
        </r>
      </text>
    </comment>
  </commentList>
</comments>
</file>

<file path=xl/comments1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3" authorId="0" shapeId="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17.xml><?xml version="1.0" encoding="utf-8"?>
<comments xmlns="http://schemas.openxmlformats.org/spreadsheetml/2006/main">
  <authors>
    <author>Ryan Mendoza</author>
    <author>AOC User</author>
  </authors>
  <commentList>
    <comment ref="S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authors>
    <author>Ryan Mendoza</author>
    <author>AOC User</author>
    <author>rcabral</author>
  </authors>
  <commentLis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20.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44"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1.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2.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3.xml><?xml version="1.0" encoding="utf-8"?>
<comments xmlns="http://schemas.openxmlformats.org/spreadsheetml/2006/main">
  <authors>
    <author>AOC User</author>
    <author>Ryan Mendoza</author>
  </authors>
  <commentList>
    <comment ref="C21" authorId="0" shapeId="0">
      <text>
        <r>
          <rPr>
            <b/>
            <sz val="10"/>
            <color indexed="81"/>
            <rFont val="Tahoma"/>
            <family val="2"/>
          </rPr>
          <t>ASSESSED FOR EVERY CONVICTION</t>
        </r>
        <r>
          <rPr>
            <sz val="10"/>
            <color indexed="81"/>
            <rFont val="Tahoma"/>
            <family val="2"/>
          </rPr>
          <t xml:space="preserve">
</t>
        </r>
      </text>
    </comment>
    <comment ref="C22" authorId="0" shapeId="0">
      <text>
        <r>
          <rPr>
            <b/>
            <sz val="10"/>
            <color indexed="81"/>
            <rFont val="Tahoma"/>
            <family val="2"/>
          </rPr>
          <t>ASSESSED FOR EVERY CONVICTION</t>
        </r>
        <r>
          <rPr>
            <sz val="10"/>
            <color indexed="81"/>
            <rFont val="Tahoma"/>
            <family val="2"/>
          </rPr>
          <t xml:space="preserve">
</t>
        </r>
      </text>
    </comment>
    <comment ref="C23"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4.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text>
        <r>
          <rPr>
            <b/>
            <sz val="10"/>
            <color indexed="81"/>
            <rFont val="Tahoma"/>
            <family val="2"/>
          </rPr>
          <t>ASSESSED FOR EVERY CONVICTION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5.xml><?xml version="1.0" encoding="utf-8"?>
<comments xmlns="http://schemas.openxmlformats.org/spreadsheetml/2006/main">
  <authors>
    <author>Ryan Mendoza</author>
    <author>AOC User</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6.xml><?xml version="1.0" encoding="utf-8"?>
<comments xmlns="http://schemas.openxmlformats.org/spreadsheetml/2006/main">
  <authors>
    <author>Ryan Mendoza</author>
    <author>AOC User</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text>
        <r>
          <rPr>
            <b/>
            <sz val="10"/>
            <color indexed="81"/>
            <rFont val="Tahoma"/>
            <family val="2"/>
          </rPr>
          <t>ASSESSED FOR EVERY CONVICTION</t>
        </r>
        <r>
          <rPr>
            <sz val="10"/>
            <color indexed="81"/>
            <rFont val="Tahoma"/>
            <family val="2"/>
          </rPr>
          <t xml:space="preserve">
</t>
        </r>
      </text>
    </comment>
    <comment ref="C33" authorId="1" shapeId="0">
      <text>
        <r>
          <rPr>
            <b/>
            <sz val="10"/>
            <color indexed="81"/>
            <rFont val="Tahoma"/>
            <family val="2"/>
          </rPr>
          <t>ASSESSED FOR EVERY CONVICTION</t>
        </r>
        <r>
          <rPr>
            <sz val="10"/>
            <color indexed="81"/>
            <rFont val="Tahoma"/>
            <family val="2"/>
          </rPr>
          <t xml:space="preserve">
</t>
        </r>
      </text>
    </comment>
    <comment ref="C35" authorId="0"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3.xml><?xml version="1.0" encoding="utf-8"?>
<comments xmlns="http://schemas.openxmlformats.org/spreadsheetml/2006/main">
  <authors>
    <author>AOC User</author>
    <author>Ryan Mendoza</author>
  </authors>
  <commentList>
    <comment ref="C34" authorId="0" shapeId="0">
      <text>
        <r>
          <rPr>
            <b/>
            <sz val="10"/>
            <color indexed="81"/>
            <rFont val="Tahoma"/>
            <family val="2"/>
          </rPr>
          <t>ASSESSED FOR EVERY CONVICTION</t>
        </r>
        <r>
          <rPr>
            <sz val="10"/>
            <color indexed="81"/>
            <rFont val="Tahoma"/>
            <family val="2"/>
          </rPr>
          <t xml:space="preserve">
</t>
        </r>
      </text>
    </comment>
    <comment ref="C35" authorId="0" shapeId="0">
      <text>
        <r>
          <rPr>
            <b/>
            <sz val="10"/>
            <color indexed="81"/>
            <rFont val="Tahoma"/>
            <family val="2"/>
          </rPr>
          <t>ASSESSED FOR EVERY CONVICTION</t>
        </r>
        <r>
          <rPr>
            <sz val="10"/>
            <color indexed="81"/>
            <rFont val="Tahoma"/>
            <family val="2"/>
          </rPr>
          <t xml:space="preserve">
</t>
        </r>
      </text>
    </comment>
    <comment ref="C36" authorId="1"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4.xml><?xml version="1.0" encoding="utf-8"?>
<comments xmlns="http://schemas.openxmlformats.org/spreadsheetml/2006/main">
  <authors>
    <author>Ryan Mendoza</author>
    <author>AOC User</author>
  </authors>
  <commentList>
    <comment ref="E8" authorId="0" shapeId="0">
      <text>
        <r>
          <rPr>
            <b/>
            <sz val="10"/>
            <color indexed="81"/>
            <rFont val="Tahoma"/>
            <family val="2"/>
          </rPr>
          <t>If CITY ARREST, Enter County % under PC 1463.002 list. Else, enter 100.</t>
        </r>
        <r>
          <rPr>
            <sz val="8"/>
            <color indexed="81"/>
            <rFont val="Tahoma"/>
            <family val="2"/>
          </rPr>
          <t xml:space="preserve">
</t>
        </r>
      </text>
    </comment>
    <comment ref="D30" authorId="1" shapeId="0">
      <text>
        <r>
          <rPr>
            <b/>
            <sz val="10"/>
            <color indexed="81"/>
            <rFont val="Tahoma"/>
            <family val="2"/>
          </rPr>
          <t>ASSESSED FOR EVERY CONVICTION OF VC VIOLATION</t>
        </r>
        <r>
          <rPr>
            <sz val="10"/>
            <color indexed="81"/>
            <rFont val="Tahoma"/>
            <family val="2"/>
          </rPr>
          <t xml:space="preserve">
</t>
        </r>
      </text>
    </comment>
    <comment ref="D35" authorId="1" shapeId="0">
      <text>
        <r>
          <rPr>
            <b/>
            <sz val="10"/>
            <color indexed="81"/>
            <rFont val="Tahoma"/>
            <family val="2"/>
          </rPr>
          <t>ASSESSED FOR EVERY CONVICTION</t>
        </r>
        <r>
          <rPr>
            <sz val="10"/>
            <color indexed="81"/>
            <rFont val="Tahoma"/>
            <family val="2"/>
          </rPr>
          <t xml:space="preserve">
</t>
        </r>
      </text>
    </comment>
    <comment ref="D36" authorId="1" shapeId="0">
      <text>
        <r>
          <rPr>
            <b/>
            <sz val="10"/>
            <color indexed="81"/>
            <rFont val="Tahoma"/>
            <family val="2"/>
          </rPr>
          <t>ASSESSED FOR EVERY CONVICTION</t>
        </r>
        <r>
          <rPr>
            <sz val="10"/>
            <color indexed="81"/>
            <rFont val="Tahoma"/>
            <family val="2"/>
          </rPr>
          <t xml:space="preserve">
</t>
        </r>
      </text>
    </comment>
  </commentList>
</comments>
</file>

<file path=xl/comments5.xml><?xml version="1.0" encoding="utf-8"?>
<comments xmlns="http://schemas.openxmlformats.org/spreadsheetml/2006/main">
  <authors>
    <author>Ryan Mendoza</author>
    <author>AOC User</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7" authorId="1" shapeId="0">
      <text>
        <r>
          <rPr>
            <b/>
            <sz val="10"/>
            <color indexed="81"/>
            <rFont val="Tahoma"/>
            <family val="2"/>
          </rPr>
          <t>ASSESSED FOR EVERY CONVICTION</t>
        </r>
        <r>
          <rPr>
            <sz val="10"/>
            <color indexed="81"/>
            <rFont val="Tahoma"/>
            <family val="2"/>
          </rPr>
          <t xml:space="preserve">
</t>
        </r>
      </text>
    </comment>
  </commentList>
</comments>
</file>

<file path=xl/comments6.xml><?xml version="1.0" encoding="utf-8"?>
<comments xmlns="http://schemas.openxmlformats.org/spreadsheetml/2006/main">
  <authors>
    <author>Administrative Office of the Courts</author>
  </authors>
  <commentList>
    <comment ref="AK5" authorId="0" shapeId="0">
      <text>
        <r>
          <rPr>
            <b/>
            <sz val="8"/>
            <color indexed="81"/>
            <rFont val="Tahoma"/>
            <family val="2"/>
          </rPr>
          <t>ENTER Pending, Dropped or Issue (IM&lt; Log, Verbal)</t>
        </r>
      </text>
    </comment>
  </commentList>
</comments>
</file>

<file path=xl/comments7.xml><?xml version="1.0" encoding="utf-8"?>
<comments xmlns="http://schemas.openxmlformats.org/spreadsheetml/2006/main">
  <authors>
    <author>Ryan Mendoza</author>
  </authors>
  <commentLis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4" authorId="0" shapeId="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8.xml><?xml version="1.0" encoding="utf-8"?>
<comments xmlns="http://schemas.openxmlformats.org/spreadsheetml/2006/main">
  <authors>
    <author>Ryan Mendoza</author>
    <author>AOC User</author>
    <author>rcabral</author>
  </authors>
  <commentList>
    <comment ref="R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text>
    </comment>
    <comment ref="C31" authorId="1" shapeId="0">
      <text>
        <r>
          <rPr>
            <b/>
            <sz val="10"/>
            <color indexed="81"/>
            <rFont val="Tahoma"/>
            <family val="2"/>
          </rPr>
          <t>ASSESSED FOR EVERY CONVICTION OF VC VIOLATION</t>
        </r>
        <r>
          <rPr>
            <sz val="10"/>
            <color indexed="81"/>
            <rFont val="Tahoma"/>
            <family val="2"/>
          </rPr>
          <t xml:space="preserve">
</t>
        </r>
      </text>
    </comment>
    <comment ref="C36" authorId="1" shapeId="0">
      <text>
        <r>
          <rPr>
            <b/>
            <sz val="10"/>
            <color indexed="81"/>
            <rFont val="Tahoma"/>
            <family val="2"/>
          </rPr>
          <t>ASSESSED FOR EVERY CONVICTION</t>
        </r>
      </text>
    </comment>
    <comment ref="C37" authorId="1" shapeId="0">
      <text>
        <r>
          <rPr>
            <b/>
            <sz val="10"/>
            <color indexed="81"/>
            <rFont val="Tahoma"/>
            <family val="2"/>
          </rPr>
          <t>ASSESSED FOR EVERY CONVICTION</t>
        </r>
        <r>
          <rPr>
            <sz val="10"/>
            <color indexed="81"/>
            <rFont val="Tahoma"/>
            <family val="2"/>
          </rPr>
          <t xml:space="preserve">
</t>
        </r>
      </text>
    </comment>
    <comment ref="C43" authorId="2" shapeId="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9.xml><?xml version="1.0" encoding="utf-8"?>
<comments xmlns="http://schemas.openxmlformats.org/spreadsheetml/2006/main">
  <authors>
    <author>Ryan Mendoza</author>
    <author>AOC User</author>
    <author>rcabral</author>
  </authors>
  <commentList>
    <comment ref="Q5" authorId="0" shapeId="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text>
        <r>
          <rPr>
            <b/>
            <sz val="8"/>
            <color indexed="81"/>
            <rFont val="Tahoma"/>
            <family val="2"/>
          </rPr>
          <t>If CITY ARREST, Enter County % under PC 1463.002 list. Else, enter 100.</t>
        </r>
        <r>
          <rPr>
            <sz val="8"/>
            <color indexed="81"/>
            <rFont val="Tahoma"/>
            <family val="2"/>
          </rPr>
          <t xml:space="preserve">
</t>
        </r>
      </text>
    </comment>
    <comment ref="C30" authorId="1" shapeId="0">
      <text>
        <r>
          <rPr>
            <b/>
            <sz val="10"/>
            <color indexed="81"/>
            <rFont val="Tahoma"/>
            <family val="2"/>
          </rPr>
          <t>ASSESSED FOR EVERY CONVICTION OF VC VIOLATION</t>
        </r>
        <r>
          <rPr>
            <sz val="10"/>
            <color indexed="81"/>
            <rFont val="Tahoma"/>
            <family val="2"/>
          </rPr>
          <t xml:space="preserve">
</t>
        </r>
      </text>
    </comment>
    <comment ref="C35" authorId="1" shapeId="0">
      <text>
        <r>
          <rPr>
            <b/>
            <sz val="10"/>
            <color indexed="81"/>
            <rFont val="Tahoma"/>
            <family val="2"/>
          </rPr>
          <t>ASSESSED FOR EVERY CONVICTION</t>
        </r>
        <r>
          <rPr>
            <sz val="10"/>
            <color indexed="81"/>
            <rFont val="Tahoma"/>
            <family val="2"/>
          </rPr>
          <t xml:space="preserve">
</t>
        </r>
      </text>
    </comment>
    <comment ref="C36" authorId="1" shapeId="0">
      <text>
        <r>
          <rPr>
            <b/>
            <sz val="10"/>
            <color indexed="81"/>
            <rFont val="Tahoma"/>
            <family val="2"/>
          </rPr>
          <t>ASSESSED FOR EVERY CONVICTION</t>
        </r>
        <r>
          <rPr>
            <sz val="10"/>
            <color indexed="81"/>
            <rFont val="Tahoma"/>
            <family val="2"/>
          </rPr>
          <t xml:space="preserve">
</t>
        </r>
      </text>
    </comment>
    <comment ref="C39" authorId="2" shapeId="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sharedStrings.xml><?xml version="1.0" encoding="utf-8"?>
<sst xmlns="http://schemas.openxmlformats.org/spreadsheetml/2006/main" count="4465" uniqueCount="601">
  <si>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</si>
  <si>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</si>
  <si>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</si>
  <si>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</si>
  <si>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</si>
  <si>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</si>
  <si>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</si>
  <si>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</si>
  <si>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</si>
  <si>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</si>
  <si>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</si>
  <si>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</si>
  <si>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</si>
  <si>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</si>
  <si>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</si>
  <si>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</si>
  <si>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</si>
  <si>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</si>
  <si>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</si>
  <si>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</si>
  <si>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</si>
  <si>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</si>
  <si>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</si>
  <si>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</si>
  <si>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</si>
  <si>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</si>
  <si>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</si>
  <si>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</si>
  <si>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</si>
  <si>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</si>
  <si>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</si>
  <si>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</si>
  <si>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</si>
  <si>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</si>
  <si>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</si>
  <si>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</si>
  <si>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</si>
  <si>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</si>
  <si>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</si>
  <si>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</si>
  <si>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</si>
  <si>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</si>
  <si>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</si>
  <si>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</si>
  <si>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</si>
  <si>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</si>
  <si>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</si>
  <si>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</si>
  <si>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</si>
  <si>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</si>
  <si>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</si>
  <si>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</si>
  <si>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</si>
  <si>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</si>
  <si>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</si>
  <si>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</si>
  <si>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</si>
  <si>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</si>
  <si>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</si>
  <si>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</si>
  <si>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</si>
  <si>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</si>
  <si>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</si>
  <si>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</si>
  <si>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</si>
  <si>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</si>
  <si>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</si>
  <si>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</si>
  <si>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</si>
  <si>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</si>
  <si>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</si>
  <si>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</si>
  <si>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</si>
  <si>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</si>
  <si>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</si>
  <si>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</si>
  <si>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</si>
  <si>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</si>
  <si>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</si>
  <si>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</si>
  <si>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</si>
  <si>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</si>
  <si>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</si>
  <si>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</si>
  <si>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</si>
  <si>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</si>
  <si>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</si>
  <si>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</si>
  <si>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</si>
  <si>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</si>
  <si>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</si>
  <si>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</si>
  <si>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</si>
  <si>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</si>
  <si>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</si>
  <si>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</si>
  <si>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</si>
  <si>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</si>
  <si>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</si>
  <si>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</si>
  <si>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</si>
  <si>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</si>
  <si>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</si>
  <si>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</si>
  <si>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</si>
  <si>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</si>
  <si>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</si>
  <si>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</si>
  <si>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</si>
  <si>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</si>
  <si>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</si>
  <si>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</si>
  <si>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</si>
  <si>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</si>
  <si>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</si>
  <si>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</si>
  <si>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</si>
  <si>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</si>
  <si>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</si>
  <si>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</si>
  <si>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</si>
  <si>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</si>
  <si>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</si>
  <si>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</si>
  <si>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</si>
  <si>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</si>
  <si>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</si>
  <si>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</si>
  <si>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</si>
  <si>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</si>
  <si>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</si>
  <si>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</si>
  <si>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</si>
  <si>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</si>
  <si>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</si>
  <si>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</si>
  <si>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</si>
  <si>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</si>
  <si>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</si>
  <si>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</si>
  <si>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</si>
  <si>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</si>
  <si>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</si>
  <si>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</si>
  <si>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</si>
  <si>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</si>
  <si>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</si>
  <si>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</si>
  <si>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</si>
  <si>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</si>
  <si>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</si>
  <si>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</si>
  <si>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</si>
  <si>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</si>
  <si>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</si>
  <si>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</si>
  <si>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</si>
  <si>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</si>
  <si>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</si>
  <si>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</si>
  <si>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</si>
  <si>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</si>
  <si>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</si>
  <si>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</si>
  <si>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</si>
  <si>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</si>
  <si>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</si>
  <si>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</si>
  <si>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</si>
  <si>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</si>
  <si>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</si>
  <si>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</si>
  <si>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</si>
  <si>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</si>
  <si>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</si>
  <si>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</si>
  <si>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</si>
  <si>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</si>
  <si>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</si>
  <si>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</si>
  <si>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</si>
  <si>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</si>
  <si>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</si>
  <si>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</si>
  <si>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</si>
  <si>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</si>
  <si>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</si>
  <si>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</si>
  <si>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</si>
  <si>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</si>
  <si>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</si>
  <si>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</si>
  <si>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</si>
  <si>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</si>
  <si>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</si>
  <si>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</si>
  <si>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</si>
  <si>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</si>
  <si>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</si>
  <si>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</si>
  <si>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</si>
  <si>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</si>
  <si>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</si>
  <si>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</si>
  <si>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</si>
  <si>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</si>
  <si>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</si>
  <si>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</si>
  <si>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</si>
  <si>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</si>
  <si>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</si>
  <si>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</si>
  <si>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</si>
  <si>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</si>
  <si>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</si>
  <si>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</si>
  <si>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</si>
  <si>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</si>
  <si>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</si>
  <si>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</si>
  <si>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</si>
  <si>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</si>
  <si>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</si>
  <si>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</si>
  <si>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</si>
  <si>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</si>
  <si>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</si>
  <si>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</si>
  <si>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</si>
  <si>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</si>
  <si>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</si>
  <si>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</si>
  <si>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</si>
  <si>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</si>
  <si>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</si>
  <si>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</si>
  <si>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</si>
  <si>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</si>
  <si>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</si>
  <si>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</si>
  <si>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</si>
  <si>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</si>
  <si>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</si>
  <si>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</si>
  <si>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</si>
  <si>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</si>
  <si>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</si>
  <si>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</si>
  <si>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</si>
  <si>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</si>
  <si>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</si>
  <si>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</si>
  <si>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</si>
  <si>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</si>
  <si>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</si>
  <si>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</si>
  <si>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</si>
  <si>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</si>
  <si>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</si>
  <si>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</si>
  <si>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</si>
  <si>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</si>
  <si>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</si>
  <si>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</si>
  <si>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</si>
  <si>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</si>
  <si>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</si>
  <si>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</si>
  <si>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</si>
  <si>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</si>
  <si>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</si>
  <si>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</si>
  <si>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</si>
  <si>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</si>
  <si>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</si>
  <si>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</si>
  <si>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</si>
  <si>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</si>
  <si>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</si>
  <si>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</si>
  <si>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</si>
  <si>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</si>
  <si>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</si>
  <si>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</si>
  <si>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</si>
  <si>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</si>
  <si>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</si>
  <si>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</si>
  <si>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</si>
  <si>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</si>
  <si>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</si>
  <si>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</si>
  <si>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</si>
  <si>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</si>
  <si>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</si>
  <si>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</si>
  <si>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</si>
  <si>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</si>
  <si>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</si>
  <si>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</si>
  <si>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</si>
  <si>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</si>
  <si>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</si>
  <si>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</si>
  <si>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</si>
  <si>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</si>
  <si>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</si>
  <si>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</si>
  <si>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</si>
  <si>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</si>
  <si>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</si>
  <si>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</si>
  <si>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</si>
  <si>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</si>
  <si>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</si>
  <si>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</si>
  <si>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</si>
  <si>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</si>
  <si>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</si>
  <si>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</si>
  <si>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</si>
  <si>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</si>
  <si>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</si>
  <si>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</si>
  <si>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</si>
  <si>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</si>
  <si>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</si>
  <si>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</si>
  <si>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</si>
  <si>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</si>
  <si>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</si>
  <si>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</si>
  <si>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</si>
  <si>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</si>
  <si>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</si>
  <si>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</si>
  <si>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</si>
  <si>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</si>
  <si>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</si>
  <si>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</si>
  <si>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</si>
  <si>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</si>
  <si>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</si>
  <si>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</si>
  <si>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</si>
  <si>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</si>
  <si>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</si>
  <si>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</si>
  <si>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</si>
  <si>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</si>
  <si>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</si>
  <si>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</si>
  <si>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</si>
  <si>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</si>
  <si>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</si>
  <si>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</si>
  <si>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</si>
  <si>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</si>
  <si>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</si>
  <si>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</si>
  <si>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</si>
  <si>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</si>
  <si>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</si>
  <si>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</si>
  <si>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</si>
  <si>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</si>
  <si>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</si>
  <si>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</si>
  <si>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</si>
  <si>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</si>
  <si>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</si>
  <si>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</si>
  <si>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</si>
  <si>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</si>
  <si>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</si>
  <si>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</si>
  <si>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</si>
  <si>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</si>
  <si>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</si>
  <si>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</si>
  <si>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</si>
  <si>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</si>
  <si>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</si>
  <si>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</si>
  <si>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</si>
  <si>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</si>
  <si>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</si>
  <si>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</si>
  <si>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</si>
  <si>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</si>
  <si>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</si>
  <si>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</si>
  <si>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</si>
  <si>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</si>
  <si>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</si>
  <si>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</si>
  <si>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</si>
  <si>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</si>
  <si>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</si>
  <si>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</si>
  <si>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</si>
  <si>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</si>
  <si>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</si>
  <si>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</si>
  <si>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</si>
  <si>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</si>
  <si>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</si>
  <si>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</si>
  <si>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</si>
  <si>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</si>
  <si>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</si>
  <si>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</si>
  <si>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</si>
  <si>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</si>
  <si>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</si>
  <si>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</si>
  <si>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</si>
  <si>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</si>
  <si>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</si>
  <si>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</si>
  <si>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</si>
  <si>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</si>
  <si>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</si>
  <si>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</si>
  <si>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</si>
  <si>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</si>
  <si>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</si>
  <si>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</si>
  <si>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</si>
  <si>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</si>
  <si>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</si>
  <si>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</si>
  <si>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</si>
  <si>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</si>
  <si>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</si>
  <si>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</si>
  <si>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</si>
  <si>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</si>
  <si>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</si>
  <si>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</si>
  <si>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</si>
  <si>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</si>
  <si>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</si>
  <si>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</si>
  <si>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</si>
  <si>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</si>
  <si>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</si>
  <si>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</si>
  <si>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</si>
  <si>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</si>
  <si>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</si>
  <si>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</si>
  <si>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</si>
  <si>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</si>
  <si>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</si>
  <si>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</si>
  <si>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</si>
  <si>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</si>
  <si>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</si>
  <si>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</si>
  <si>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</si>
  <si>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</si>
  <si>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</si>
  <si>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</si>
  <si>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</si>
  <si>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</si>
  <si>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</si>
  <si>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</si>
  <si>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</si>
  <si>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</si>
  <si>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</si>
  <si>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</si>
  <si>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</si>
  <si>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</si>
  <si>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</si>
  <si>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</si>
  <si>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</si>
  <si>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</si>
  <si>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</si>
  <si>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</si>
  <si>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</si>
  <si>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</si>
  <si>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</si>
  <si>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</si>
  <si>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</si>
  <si>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</si>
  <si>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</si>
  <si>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</si>
  <si>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</si>
  <si>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</si>
  <si>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</si>
  <si>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</si>
  <si>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</si>
  <si>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</si>
  <si>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</si>
  <si>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</si>
  <si>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</si>
  <si>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</si>
  <si>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</si>
  <si>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</si>
  <si>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</si>
  <si>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</si>
  <si>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</si>
  <si>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</si>
  <si>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</si>
  <si>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</si>
  <si>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</si>
  <si>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</si>
  <si>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</si>
  <si>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</si>
  <si>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</si>
  <si>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</si>
  <si>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</si>
  <si>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</si>
  <si>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</si>
  <si>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</si>
  <si>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</si>
  <si>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</si>
  <si>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</si>
  <si>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</si>
  <si>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</si>
  <si>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</si>
  <si>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</si>
  <si>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</si>
  <si>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</si>
  <si>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</si>
  <si>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</si>
  <si>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</si>
  <si>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</si>
  <si>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</si>
  <si>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</si>
  <si>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</si>
  <si>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</si>
  <si>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</si>
  <si>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</si>
  <si>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</si>
  <si>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</si>
  <si>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</si>
  <si>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</si>
  <si>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</si>
  <si>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</si>
  <si>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</si>
  <si>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</si>
  <si>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</si>
  <si>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</si>
  <si>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</si>
  <si>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</si>
  <si>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</si>
  <si>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</si>
  <si>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</si>
  <si>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</si>
  <si>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</si>
  <si>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</si>
  <si>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</si>
  <si>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</si>
  <si>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</si>
  <si>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</si>
  <si>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</si>
  <si>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</si>
  <si>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</si>
  <si>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</si>
  <si>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</si>
  <si>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</si>
  <si>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</si>
  <si>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</si>
  <si>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</si>
  <si>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</si>
  <si>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</si>
  <si>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</si>
  <si>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</si>
  <si>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</si>
  <si>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</si>
  <si>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</si>
  <si>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</si>
  <si>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VC 22349 (b)</t>
  </si>
  <si>
    <t>Over 65MPH (16-25MPH)</t>
  </si>
  <si>
    <t>County Sheriff</t>
  </si>
  <si>
    <t>PC 1205(e) - Install Fee OR AR Fee (BOS: Actual Costs OR up to $30)</t>
  </si>
  <si>
    <t xml:space="preserve"> TOP-DOWN </t>
  </si>
  <si>
    <t xml:space="preserve">Top Down Method 2 (Speeding Bail Forfeiture) </t>
  </si>
  <si>
    <t xml:space="preserve">Top Down Method 1 (Speeding Bail Forfeiture)  </t>
  </si>
  <si>
    <t xml:space="preserve"> 
TOP-DOWN </t>
  </si>
  <si>
    <t xml:space="preserve">TOP-DOWN </t>
  </si>
  <si>
    <t>VC 23645(a) - Alcohol Abuse Edu. and Prevention Penalty  (up to $50)</t>
  </si>
  <si>
    <t xml:space="preserve">GC 76000 </t>
  </si>
  <si>
    <t xml:space="preserve">
TOP-DOWN </t>
  </si>
  <si>
    <t>STATE or CNTY</t>
  </si>
  <si>
    <t xml:space="preserve">Case Study #1 --Special Base Fine Distribution, Driving Under Influence  </t>
  </si>
  <si>
    <t xml:space="preserve">Case Study #3 --Regular Traffic School Distribution, Speeding </t>
  </si>
  <si>
    <t>Case Study #4 -- Bail Forfeiture Distribution, Red Light</t>
  </si>
  <si>
    <r>
      <t xml:space="preserve">Standard
</t>
    </r>
    <r>
      <rPr>
        <b/>
        <sz val="11"/>
        <rFont val="Calibri"/>
        <family val="2"/>
      </rPr>
      <t>(based on VC 42007)</t>
    </r>
  </si>
  <si>
    <r>
      <t xml:space="preserve">FINAL
</t>
    </r>
    <r>
      <rPr>
        <b/>
        <sz val="12"/>
        <rFont val="Calibri"/>
        <family val="2"/>
      </rPr>
      <t>(After 2%)</t>
    </r>
  </si>
  <si>
    <r>
      <rPr>
        <b/>
        <sz val="12"/>
        <rFont val="Calibri"/>
        <family val="2"/>
      </rPr>
      <t>BASE ENHANCE:</t>
    </r>
    <r>
      <rPr>
        <sz val="12"/>
        <rFont val="Calibri"/>
        <family val="2"/>
      </rPr>
      <t xml:space="preserve"> HS 11372.5 - Crim Lab Fee ($50)</t>
    </r>
  </si>
  <si>
    <r>
      <rPr>
        <b/>
        <sz val="12"/>
        <rFont val="Calibri"/>
        <family val="2"/>
      </rPr>
      <t>BASE ENHANCE:</t>
    </r>
    <r>
      <rPr>
        <sz val="12"/>
        <rFont val="Calibri"/>
        <family val="2"/>
      </rPr>
      <t xml:space="preserve"> HS 11372.7 - Drug Prg Fee (up to $150)</t>
    </r>
  </si>
  <si>
    <r>
      <t xml:space="preserve">TOP-DOWN
</t>
    </r>
    <r>
      <rPr>
        <b/>
        <sz val="12"/>
        <rFont val="Calibri"/>
        <family val="2"/>
      </rPr>
      <t>(IAS-Using Sub total % of Std)</t>
    </r>
  </si>
  <si>
    <r>
      <rPr>
        <b/>
        <sz val="12"/>
        <rFont val="Calibri"/>
        <family val="2"/>
      </rPr>
      <t>BASE REDUCTION:</t>
    </r>
    <r>
      <rPr>
        <sz val="12"/>
        <rFont val="Calibri"/>
        <family val="2"/>
      </rPr>
      <t xml:space="preserve"> PC 1463.14(a) - DUI Lab Spec Acct ($50)</t>
    </r>
  </si>
  <si>
    <r>
      <rPr>
        <b/>
        <sz val="12"/>
        <rFont val="Calibri"/>
        <family val="2"/>
      </rPr>
      <t>BASE REDUCTION</t>
    </r>
    <r>
      <rPr>
        <sz val="12"/>
        <rFont val="Calibri"/>
        <family val="2"/>
      </rPr>
      <t>: PC 1463.16 - DUI Prog Spec Acct (BOS: $50)</t>
    </r>
  </si>
  <si>
    <r>
      <rPr>
        <b/>
        <sz val="12"/>
        <rFont val="Calibri"/>
        <family val="2"/>
      </rPr>
      <t xml:space="preserve">BASE REDUCTION: </t>
    </r>
    <r>
      <rPr>
        <sz val="12"/>
        <rFont val="Calibri"/>
        <family val="2"/>
      </rPr>
      <t>PC 1463.18 - DUI Indemnity Alloc ($20)</t>
    </r>
  </si>
  <si>
    <t xml:space="preserve">Case Study #2 -- Base Enhancement Distribution Health &amp; Safety </t>
  </si>
  <si>
    <t xml:space="preserve">Case Study #5-- Special Traffic Violator School Distribution, Red Light </t>
  </si>
  <si>
    <t>Case Study #6 --Multiple Violations Distribution,  Failure to Stop at Stop Sign and DUI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</si>
</sst>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3"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z val="11"/>
      <name val="Arial"/>
      <family val="2"/>
    </font>
    <font>
      <b/>
      <i/>
      <sz val="11"/>
      <name val="Calibri"/>
      <family val="2"/>
      <scheme val="minor"/>
    </font>
    <font>
      <sz val="12"/>
      <color rgb="FFFF0000"/>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diagonal/>
    </border>
    <border>
      <left style="thick">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top style="medium">
        <color indexed="64"/>
      </top>
      <bottom/>
      <diagonal/>
    </border>
    <border>
      <left style="thick">
        <color indexed="64"/>
      </left>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thick">
        <color indexed="64"/>
      </top>
      <bottom style="thin">
        <color indexed="64"/>
      </bottom>
      <diagonal/>
    </border>
    <border>
      <left/>
      <right style="thick">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2164">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166" fontId="30" fillId="0" borderId="98" xfId="0" applyNumberFormat="1" applyFont="1" applyFill="1" applyBorder="1" applyAlignment="1" applyProtection="1">
      <alignment vertical="top" wrapText="1"/>
    </xf>
    <xf numFmtId="166" fontId="36" fillId="0" borderId="98" xfId="0" applyNumberFormat="1" applyFont="1" applyFill="1" applyBorder="1" applyAlignment="1" applyProtection="1">
      <alignment vertical="top" wrapText="1"/>
    </xf>
    <xf numFmtId="2" fontId="30" fillId="0" borderId="98" xfId="0" applyNumberFormat="1" applyFont="1" applyFill="1" applyBorder="1" applyAlignment="1" applyProtection="1">
      <alignment vertical="top" wrapText="1"/>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2" fontId="30" fillId="10" borderId="0" xfId="0" applyNumberFormat="1" applyFont="1" applyFill="1" applyBorder="1" applyAlignment="1" applyProtection="1">
      <alignment vertical="top"/>
    </xf>
    <xf numFmtId="0" fontId="30" fillId="10" borderId="99" xfId="0" applyFont="1" applyFill="1" applyBorder="1" applyAlignment="1" applyProtection="1">
      <alignment vertical="top"/>
      <protection locked="0"/>
    </xf>
    <xf numFmtId="0" fontId="30" fillId="10" borderId="7" xfId="0" applyFont="1" applyFill="1" applyBorder="1" applyAlignment="1" applyProtection="1">
      <alignment horizontal="center" vertical="top" wrapText="1"/>
      <protection locked="0"/>
    </xf>
    <xf numFmtId="0" fontId="30" fillId="10" borderId="31"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2" fontId="39" fillId="10" borderId="53" xfId="0" applyNumberFormat="1" applyFont="1" applyFill="1" applyBorder="1" applyAlignment="1" applyProtection="1">
      <alignment vertical="top"/>
    </xf>
    <xf numFmtId="2" fontId="39" fillId="10" borderId="23" xfId="0" applyNumberFormat="1" applyFont="1" applyFill="1" applyBorder="1" applyAlignment="1" applyProtection="1">
      <alignment vertical="top"/>
    </xf>
    <xf numFmtId="2" fontId="39" fillId="10" borderId="100" xfId="0" applyNumberFormat="1" applyFont="1" applyFill="1" applyBorder="1" applyAlignment="1" applyProtection="1">
      <alignment vertical="top"/>
    </xf>
    <xf numFmtId="2" fontId="39" fillId="10" borderId="23" xfId="0" applyNumberFormat="1" applyFont="1" applyFill="1" applyBorder="1" applyAlignment="1" applyProtection="1">
      <alignment vertical="top"/>
      <protection locked="0"/>
    </xf>
    <xf numFmtId="44" fontId="30" fillId="13" borderId="64" xfId="0" applyNumberFormat="1" applyFont="1" applyFill="1" applyBorder="1" applyAlignment="1" applyProtection="1">
      <alignment vertical="top"/>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166" fontId="30" fillId="16" borderId="3" xfId="0" applyNumberFormat="1"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166" fontId="30" fillId="16" borderId="1" xfId="0" applyNumberFormat="1"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3" fillId="10" borderId="53" xfId="0" applyFont="1" applyFill="1" applyBorder="1" applyAlignment="1" applyProtection="1">
      <alignment horizontal="center" vertical="top"/>
      <protection locked="0"/>
    </xf>
    <xf numFmtId="0" fontId="39" fillId="10" borderId="54" xfId="0" applyFont="1" applyFill="1" applyBorder="1" applyAlignment="1" applyProtection="1">
      <alignment vertical="top"/>
      <protection locked="0"/>
    </xf>
    <xf numFmtId="14" fontId="55" fillId="10" borderId="0" xfId="0" applyNumberFormat="1" applyFont="1" applyFill="1" applyBorder="1" applyAlignment="1" applyProtection="1">
      <alignment horizontal="center" vertical="top"/>
      <protection locked="0"/>
    </xf>
    <xf numFmtId="0" fontId="32" fillId="10" borderId="62" xfId="0" applyFont="1" applyFill="1" applyBorder="1" applyAlignment="1" applyProtection="1">
      <alignment horizontal="lef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166" fontId="30" fillId="0" borderId="102" xfId="0" applyNumberFormat="1" applyFont="1" applyFill="1" applyBorder="1" applyAlignment="1" applyProtection="1">
      <alignment vertical="top"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2" fontId="39" fillId="10" borderId="101" xfId="0" applyNumberFormat="1" applyFont="1" applyFill="1" applyBorder="1" applyAlignment="1" applyProtection="1">
      <alignment vertical="top"/>
    </xf>
    <xf numFmtId="0" fontId="39" fillId="10" borderId="62" xfId="0" applyFont="1" applyFill="1" applyBorder="1" applyAlignment="1" applyProtection="1">
      <alignment vertical="top"/>
      <protection locked="0"/>
    </xf>
    <xf numFmtId="166" fontId="36" fillId="0" borderId="16" xfId="0" applyNumberFormat="1" applyFont="1" applyFill="1" applyBorder="1" applyAlignment="1" applyProtection="1">
      <alignment vertical="top" wrapText="1"/>
    </xf>
    <xf numFmtId="0" fontId="30" fillId="0" borderId="1"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2" fontId="30" fillId="0" borderId="0" xfId="0" applyNumberFormat="1" applyFont="1" applyFill="1" applyBorder="1" applyAlignment="1" applyProtection="1">
      <alignment vertical="top"/>
    </xf>
    <xf numFmtId="2" fontId="39" fillId="0" borderId="53" xfId="0" applyNumberFormat="1" applyFont="1" applyFill="1" applyBorder="1" applyAlignment="1" applyProtection="1">
      <alignment vertical="top"/>
    </xf>
    <xf numFmtId="0" fontId="31" fillId="0" borderId="0" xfId="0" applyFont="1" applyBorder="1" applyAlignment="1" applyProtection="1">
      <alignment vertical="top"/>
      <protection locked="0"/>
    </xf>
    <xf numFmtId="166" fontId="30" fillId="0" borderId="16"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166" fontId="30" fillId="0" borderId="65" xfId="0" applyNumberFormat="1" applyFont="1" applyFill="1" applyBorder="1" applyAlignment="1" applyProtection="1">
      <alignment vertical="top" wrapText="1"/>
    </xf>
    <xf numFmtId="166" fontId="36" fillId="0" borderId="85" xfId="0" applyNumberFormat="1" applyFont="1" applyFill="1" applyBorder="1" applyAlignment="1" applyProtection="1">
      <alignment vertical="top" wrapText="1"/>
    </xf>
    <xf numFmtId="2" fontId="30" fillId="0" borderId="85" xfId="0" applyNumberFormat="1" applyFont="1" applyFill="1" applyBorder="1" applyAlignment="1" applyProtection="1">
      <alignment vertical="top" wrapText="1"/>
    </xf>
    <xf numFmtId="2" fontId="30" fillId="0" borderId="7" xfId="0" applyNumberFormat="1" applyFont="1" applyFill="1" applyBorder="1" applyAlignment="1" applyProtection="1">
      <alignment vertical="top"/>
    </xf>
    <xf numFmtId="0" fontId="30" fillId="0" borderId="38" xfId="0" applyFont="1" applyFill="1" applyBorder="1" applyAlignment="1" applyProtection="1">
      <alignment vertical="center" textRotation="90" wrapText="1"/>
      <protection locked="0"/>
    </xf>
    <xf numFmtId="0" fontId="30" fillId="0" borderId="104"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center" vertical="top" wrapText="1"/>
      <protection locked="0"/>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166" fontId="30" fillId="0" borderId="57" xfId="0" applyNumberFormat="1" applyFont="1" applyFill="1" applyBorder="1" applyAlignment="1" applyProtection="1">
      <alignment vertical="top" wrapText="1"/>
    </xf>
    <xf numFmtId="166" fontId="30" fillId="0" borderId="7" xfId="0" applyNumberFormat="1" applyFont="1" applyFill="1" applyBorder="1" applyAlignment="1" applyProtection="1">
      <alignment vertical="top" wrapText="1"/>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0" fontId="30" fillId="0" borderId="47" xfId="0" applyFont="1" applyFill="1" applyBorder="1" applyAlignment="1" applyProtection="1">
      <alignment horizontal="center" vertical="top" wrapText="1"/>
      <protection locked="0"/>
    </xf>
    <xf numFmtId="166" fontId="30" fillId="0" borderId="85" xfId="0" applyNumberFormat="1" applyFont="1" applyFill="1" applyBorder="1" applyAlignment="1" applyProtection="1">
      <alignment vertical="top" wrapText="1"/>
    </xf>
    <xf numFmtId="0" fontId="0" fillId="0" borderId="0" xfId="0" applyFill="1"/>
    <xf numFmtId="0" fontId="30" fillId="16" borderId="1" xfId="0" applyFont="1" applyFill="1" applyBorder="1" applyAlignment="1" applyProtection="1">
      <alignment horizontal="left" vertical="top" wrapText="1"/>
      <protection locked="0"/>
    </xf>
    <xf numFmtId="166" fontId="30" fillId="16" borderId="15" xfId="0" applyNumberFormat="1" applyFont="1" applyFill="1" applyBorder="1" applyAlignment="1" applyProtection="1">
      <alignment vertical="top" wrapText="1"/>
    </xf>
    <xf numFmtId="166" fontId="30" fillId="16" borderId="3" xfId="0" applyNumberFormat="1" applyFont="1" applyFill="1" applyBorder="1" applyAlignment="1" applyProtection="1">
      <alignment vertical="top" wrapText="1"/>
    </xf>
    <xf numFmtId="166" fontId="30" fillId="16" borderId="1" xfId="0" applyNumberFormat="1" applyFont="1" applyFill="1" applyBorder="1" applyAlignment="1" applyProtection="1">
      <alignment vertical="top" wrapText="1"/>
    </xf>
    <xf numFmtId="2" fontId="39" fillId="10" borderId="97" xfId="0" applyNumberFormat="1" applyFont="1" applyFill="1" applyBorder="1" applyAlignment="1" applyProtection="1">
      <alignment vertical="top"/>
    </xf>
    <xf numFmtId="2" fontId="39" fillId="16" borderId="105" xfId="0" applyNumberFormat="1" applyFont="1" applyFill="1" applyBorder="1" applyAlignment="1" applyProtection="1">
      <alignment vertical="top"/>
      <protection locked="0"/>
    </xf>
    <xf numFmtId="2" fontId="39" fillId="10" borderId="30" xfId="0" applyNumberFormat="1" applyFont="1" applyFill="1" applyBorder="1" applyAlignment="1" applyProtection="1">
      <alignment vertical="top"/>
    </xf>
    <xf numFmtId="0" fontId="31" fillId="0" borderId="0" xfId="0" applyFont="1" applyFill="1" applyBorder="1" applyAlignment="1" applyProtection="1">
      <alignment horizontal="left" vertical="top"/>
      <protection locked="0"/>
    </xf>
    <xf numFmtId="0" fontId="31" fillId="0" borderId="0" xfId="0" applyFont="1" applyFill="1" applyBorder="1" applyAlignment="1" applyProtection="1">
      <alignment vertical="top"/>
      <protection locked="0"/>
    </xf>
    <xf numFmtId="0" fontId="71" fillId="0" borderId="0" xfId="0" applyFont="1" applyFill="1" applyBorder="1" applyAlignment="1" applyProtection="1">
      <alignment horizontal="center" vertical="top"/>
      <protection locked="0"/>
    </xf>
    <xf numFmtId="0" fontId="53" fillId="0" borderId="0" xfId="0" applyFont="1" applyFill="1" applyBorder="1" applyAlignment="1" applyProtection="1">
      <alignment horizontal="left" vertical="top"/>
      <protection locked="0"/>
    </xf>
    <xf numFmtId="165" fontId="37" fillId="0" borderId="0" xfId="0" applyNumberFormat="1" applyFont="1" applyFill="1" applyBorder="1" applyAlignment="1" applyProtection="1">
      <alignment vertical="top"/>
      <protection locked="0"/>
    </xf>
    <xf numFmtId="0" fontId="31" fillId="0" borderId="0" xfId="0" applyFont="1" applyFill="1" applyBorder="1" applyAlignment="1" applyProtection="1">
      <alignment horizontal="center" vertical="top"/>
      <protection locked="0"/>
    </xf>
    <xf numFmtId="0" fontId="38" fillId="0" borderId="0" xfId="0" applyFont="1" applyFill="1" applyBorder="1" applyAlignment="1" applyProtection="1">
      <alignment vertical="top"/>
      <protection locked="0"/>
    </xf>
    <xf numFmtId="0" fontId="30" fillId="0" borderId="0" xfId="0" applyFont="1" applyFill="1" applyBorder="1" applyAlignment="1" applyProtection="1">
      <alignment horizontal="right" vertical="top"/>
      <protection locked="0"/>
    </xf>
    <xf numFmtId="0" fontId="32" fillId="0" borderId="0" xfId="0" applyFont="1" applyFill="1" applyBorder="1" applyAlignment="1" applyProtection="1">
      <alignment vertical="top"/>
      <protection locked="0"/>
    </xf>
    <xf numFmtId="0" fontId="33" fillId="0" borderId="0" xfId="0" applyFont="1" applyFill="1" applyBorder="1" applyAlignment="1" applyProtection="1">
      <alignment vertical="top"/>
      <protection locked="0"/>
    </xf>
    <xf numFmtId="0" fontId="39" fillId="0" borderId="0" xfId="0" applyFont="1" applyFill="1" applyBorder="1" applyAlignment="1" applyProtection="1">
      <alignment horizontal="center" vertical="top"/>
      <protection locked="0"/>
    </xf>
    <xf numFmtId="2" fontId="39" fillId="0" borderId="0" xfId="0" applyNumberFormat="1" applyFont="1" applyFill="1" applyBorder="1" applyAlignment="1" applyProtection="1">
      <alignment horizontal="center" vertical="top"/>
    </xf>
    <xf numFmtId="2" fontId="33" fillId="0" borderId="0" xfId="0" applyNumberFormat="1" applyFont="1" applyFill="1" applyBorder="1" applyAlignment="1" applyProtection="1">
      <alignment vertical="top"/>
    </xf>
    <xf numFmtId="0" fontId="39" fillId="0" borderId="0" xfId="0" applyFont="1" applyFill="1" applyBorder="1" applyAlignment="1" applyProtection="1">
      <alignment horizontal="right" vertical="top"/>
      <protection locked="0"/>
    </xf>
    <xf numFmtId="2" fontId="39" fillId="0" borderId="0" xfId="0" applyNumberFormat="1" applyFont="1" applyFill="1" applyBorder="1" applyAlignment="1" applyProtection="1">
      <alignment vertical="top"/>
    </xf>
    <xf numFmtId="2" fontId="41" fillId="0" borderId="0" xfId="0" applyNumberFormat="1" applyFont="1" applyFill="1" applyBorder="1" applyAlignment="1" applyProtection="1">
      <alignment vertical="top"/>
    </xf>
    <xf numFmtId="0" fontId="39" fillId="9" borderId="106" xfId="0" applyFont="1" applyFill="1" applyBorder="1" applyAlignment="1" applyProtection="1">
      <alignment horizontal="center" vertical="top" wrapText="1"/>
    </xf>
    <xf numFmtId="2" fontId="39" fillId="10" borderId="109" xfId="0" applyNumberFormat="1" applyFont="1" applyFill="1" applyBorder="1" applyAlignment="1" applyProtection="1">
      <alignment vertical="top"/>
    </xf>
    <xf numFmtId="166" fontId="30" fillId="0" borderId="27" xfId="0" applyNumberFormat="1" applyFont="1" applyFill="1" applyBorder="1" applyAlignment="1" applyProtection="1">
      <alignment vertical="top" wrapText="1"/>
    </xf>
    <xf numFmtId="2" fontId="30" fillId="0" borderId="19" xfId="0" applyNumberFormat="1" applyFont="1" applyFill="1" applyBorder="1" applyAlignment="1" applyProtection="1">
      <alignment vertical="top" wrapText="1"/>
    </xf>
    <xf numFmtId="2" fontId="35" fillId="9" borderId="112" xfId="0" applyNumberFormat="1" applyFont="1" applyFill="1" applyBorder="1" applyAlignment="1" applyProtection="1">
      <alignment horizontal="center" vertical="top" wrapText="1"/>
    </xf>
    <xf numFmtId="10" fontId="43" fillId="9" borderId="113" xfId="6" applyNumberFormat="1" applyFont="1" applyFill="1" applyBorder="1" applyAlignment="1" applyProtection="1">
      <alignment horizontal="center" vertical="center" wrapText="1"/>
    </xf>
    <xf numFmtId="166" fontId="30" fillId="0" borderId="48" xfId="0" applyNumberFormat="1" applyFont="1" applyFill="1" applyBorder="1" applyAlignment="1" applyProtection="1">
      <alignment vertical="top" wrapText="1"/>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2" fontId="39" fillId="9" borderId="24" xfId="0" applyNumberFormat="1" applyFont="1" applyFill="1" applyBorder="1" applyAlignment="1" applyProtection="1">
      <alignment horizontal="center" vertical="top" wrapText="1"/>
    </xf>
    <xf numFmtId="2" fontId="39" fillId="10" borderId="11" xfId="0" applyNumberFormat="1" applyFont="1" applyFill="1" applyBorder="1" applyAlignment="1" applyProtection="1">
      <alignment vertical="top"/>
    </xf>
    <xf numFmtId="166" fontId="30" fillId="10" borderId="0" xfId="0" applyNumberFormat="1" applyFont="1" applyFill="1" applyBorder="1" applyAlignment="1" applyProtection="1">
      <alignment vertical="top" wrapText="1"/>
    </xf>
    <xf numFmtId="166" fontId="36" fillId="10" borderId="0" xfId="0" applyNumberFormat="1" applyFont="1" applyFill="1" applyBorder="1" applyAlignment="1" applyProtection="1">
      <alignment vertical="top" wrapText="1"/>
    </xf>
    <xf numFmtId="2" fontId="30" fillId="10" borderId="0" xfId="0" applyNumberFormat="1" applyFont="1" applyFill="1" applyBorder="1" applyAlignment="1" applyProtection="1">
      <alignment vertical="top" wrapText="1"/>
    </xf>
    <xf numFmtId="166" fontId="30" fillId="0" borderId="88" xfId="0" applyNumberFormat="1" applyFont="1" applyFill="1" applyBorder="1" applyAlignment="1" applyProtection="1">
      <alignment vertical="top" wrapText="1"/>
    </xf>
    <xf numFmtId="166" fontId="30" fillId="0" borderId="115" xfId="0" applyNumberFormat="1" applyFont="1" applyFill="1" applyBorder="1" applyAlignment="1" applyProtection="1">
      <alignment vertical="top" wrapText="1"/>
    </xf>
    <xf numFmtId="0" fontId="30" fillId="0" borderId="0" xfId="0" applyFont="1" applyBorder="1" applyAlignment="1" applyProtection="1">
      <alignment horizontal="left" vertical="top"/>
      <protection locked="0"/>
    </xf>
    <xf numFmtId="166" fontId="36" fillId="0" borderId="115" xfId="0" applyNumberFormat="1" applyFont="1" applyFill="1" applyBorder="1" applyAlignment="1" applyProtection="1">
      <alignment vertical="top" wrapText="1"/>
    </xf>
    <xf numFmtId="2" fontId="30" fillId="0" borderId="115" xfId="0" applyNumberFormat="1" applyFont="1" applyFill="1" applyBorder="1" applyAlignment="1" applyProtection="1">
      <alignment vertical="top" wrapText="1"/>
    </xf>
    <xf numFmtId="0" fontId="30" fillId="10" borderId="22" xfId="0" applyFont="1" applyFill="1" applyBorder="1" applyAlignment="1" applyProtection="1">
      <alignment vertical="top"/>
      <protection locked="0"/>
    </xf>
    <xf numFmtId="2" fontId="75" fillId="0" borderId="0" xfId="0" applyNumberFormat="1" applyFont="1"/>
    <xf numFmtId="0" fontId="36" fillId="14" borderId="1" xfId="0" applyFont="1" applyFill="1" applyBorder="1" applyAlignment="1" applyProtection="1">
      <alignment vertical="top"/>
      <protection locked="0"/>
    </xf>
    <xf numFmtId="0" fontId="30" fillId="16" borderId="3" xfId="0" applyFont="1" applyFill="1" applyBorder="1" applyAlignment="1" applyProtection="1">
      <alignment horizontal="left" vertical="top" wrapText="1"/>
    </xf>
    <xf numFmtId="166" fontId="30" fillId="16" borderId="65" xfId="0" applyNumberFormat="1" applyFont="1" applyFill="1" applyBorder="1" applyAlignment="1" applyProtection="1">
      <alignment vertical="top" wrapText="1"/>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16" borderId="3"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2" fontId="39" fillId="0" borderId="23" xfId="0" applyNumberFormat="1" applyFont="1" applyFill="1" applyBorder="1" applyAlignment="1" applyProtection="1">
      <alignment vertical="top"/>
    </xf>
    <xf numFmtId="2" fontId="39" fillId="0" borderId="105" xfId="0" applyNumberFormat="1" applyFont="1" applyFill="1" applyBorder="1" applyAlignment="1" applyProtection="1">
      <alignment vertical="top"/>
      <protection locked="0"/>
    </xf>
    <xf numFmtId="0" fontId="39" fillId="10" borderId="1" xfId="0" applyFont="1" applyFill="1" applyBorder="1" applyAlignment="1" applyProtection="1">
      <alignment horizontal="center" vertical="center"/>
      <protection locked="0"/>
    </xf>
    <xf numFmtId="0" fontId="39" fillId="9" borderId="12" xfId="0" applyFont="1" applyFill="1" applyBorder="1" applyAlignment="1" applyProtection="1">
      <alignment horizontal="center" vertical="center"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14"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9" borderId="60" xfId="0" applyFont="1" applyFill="1" applyBorder="1" applyAlignment="1" applyProtection="1">
      <alignment horizontal="center" vertical="center" wrapText="1"/>
    </xf>
    <xf numFmtId="0" fontId="39" fillId="10" borderId="6" xfId="0" applyFont="1" applyFill="1" applyBorder="1" applyAlignment="1" applyProtection="1">
      <alignment vertical="top"/>
      <protection locked="0"/>
    </xf>
    <xf numFmtId="0" fontId="39" fillId="10" borderId="16" xfId="0" applyFont="1" applyFill="1" applyBorder="1" applyAlignment="1" applyProtection="1">
      <alignment vertical="top"/>
      <protection locked="0"/>
    </xf>
    <xf numFmtId="0" fontId="33" fillId="10" borderId="58" xfId="0" applyFont="1" applyFill="1" applyBorder="1" applyAlignment="1" applyProtection="1">
      <alignment horizontal="center" vertical="top"/>
      <protection locked="0"/>
    </xf>
    <xf numFmtId="44" fontId="30" fillId="13" borderId="103" xfId="0" applyNumberFormat="1" applyFont="1" applyFill="1" applyBorder="1" applyAlignment="1" applyProtection="1">
      <alignment vertical="top"/>
    </xf>
    <xf numFmtId="166" fontId="30" fillId="0" borderId="22" xfId="0" applyNumberFormat="1" applyFont="1" applyFill="1" applyBorder="1" applyAlignment="1" applyProtection="1">
      <alignment vertical="top" wrapText="1"/>
    </xf>
    <xf numFmtId="0" fontId="30" fillId="10" borderId="116" xfId="0" applyFont="1" applyFill="1" applyBorder="1" applyAlignment="1" applyProtection="1">
      <alignment horizontal="center" vertical="top" wrapText="1"/>
      <protection locked="0"/>
    </xf>
    <xf numFmtId="0" fontId="30"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39" fillId="0" borderId="1" xfId="0" applyFont="1" applyFill="1" applyBorder="1" applyAlignment="1" applyProtection="1">
      <alignment horizontal="left" vertical="top"/>
      <protection locked="0"/>
    </xf>
    <xf numFmtId="0" fontId="45" fillId="10" borderId="0" xfId="0" applyFont="1" applyFill="1" applyBorder="1" applyAlignment="1" applyProtection="1">
      <alignment horizontal="left" vertical="top"/>
      <protection locked="0"/>
    </xf>
    <xf numFmtId="0" fontId="39" fillId="9" borderId="10" xfId="0" applyFont="1" applyFill="1" applyBorder="1" applyAlignment="1" applyProtection="1">
      <alignment horizontal="center" vertical="center" wrapText="1"/>
    </xf>
    <xf numFmtId="0" fontId="39" fillId="9" borderId="106" xfId="0" applyFont="1" applyFill="1" applyBorder="1" applyAlignment="1" applyProtection="1">
      <alignment horizontal="center" vertical="center" wrapText="1"/>
    </xf>
    <xf numFmtId="166" fontId="30" fillId="23" borderId="1" xfId="0" applyNumberFormat="1" applyFont="1" applyFill="1" applyBorder="1" applyAlignment="1" applyProtection="1">
      <alignment vertical="top" wrapText="1"/>
      <protection locked="0"/>
    </xf>
    <xf numFmtId="0" fontId="30" fillId="16" borderId="15" xfId="0" applyFont="1" applyFill="1" applyBorder="1" applyAlignment="1" applyProtection="1">
      <alignment vertical="top" wrapText="1"/>
      <protection locked="0"/>
    </xf>
    <xf numFmtId="166" fontId="30" fillId="16" borderId="6" xfId="0" applyNumberFormat="1" applyFont="1" applyFill="1" applyBorder="1" applyAlignment="1" applyProtection="1">
      <alignment vertical="top" wrapText="1"/>
    </xf>
    <xf numFmtId="0" fontId="30" fillId="16" borderId="1" xfId="0" applyFont="1" applyFill="1" applyBorder="1" applyAlignment="1" applyProtection="1">
      <alignment horizontal="left" vertical="top" wrapText="1"/>
      <protection locked="0"/>
    </xf>
    <xf numFmtId="16" fontId="30" fillId="10" borderId="0" xfId="0" applyNumberFormat="1" applyFont="1" applyFill="1" applyAlignment="1" applyProtection="1">
      <alignment vertical="top"/>
      <protection locked="0"/>
    </xf>
    <xf numFmtId="166" fontId="30" fillId="16" borderId="16" xfId="0" applyNumberFormat="1" applyFont="1" applyFill="1" applyBorder="1" applyAlignment="1" applyProtection="1">
      <alignment vertical="top" wrapText="1"/>
    </xf>
    <xf numFmtId="166" fontId="30" fillId="16" borderId="28" xfId="0" applyNumberFormat="1" applyFont="1" applyFill="1" applyBorder="1" applyAlignment="1" applyProtection="1">
      <alignment vertical="top" wrapText="1"/>
    </xf>
    <xf numFmtId="2" fontId="39" fillId="10" borderId="103" xfId="0" applyNumberFormat="1" applyFont="1" applyFill="1" applyBorder="1" applyAlignment="1" applyProtection="1">
      <alignment vertical="top"/>
    </xf>
    <xf numFmtId="0" fontId="33" fillId="10" borderId="20" xfId="0" applyFont="1" applyFill="1" applyBorder="1" applyAlignment="1" applyProtection="1">
      <alignment horizontal="center" vertical="top"/>
      <protection locked="0"/>
    </xf>
    <xf numFmtId="0" fontId="39" fillId="10" borderId="82" xfId="0" applyFont="1" applyFill="1" applyBorder="1" applyAlignment="1" applyProtection="1">
      <alignment vertical="top"/>
      <protection locked="0"/>
    </xf>
    <xf numFmtId="0" fontId="36" fillId="10" borderId="7" xfId="0" applyFont="1" applyFill="1" applyBorder="1" applyAlignment="1" applyProtection="1">
      <alignment horizontal="right" vertical="top"/>
      <protection locked="0"/>
    </xf>
    <xf numFmtId="0" fontId="36" fillId="10" borderId="0" xfId="0" applyFont="1" applyFill="1" applyBorder="1" applyAlignment="1" applyProtection="1">
      <alignment horizontal="right" vertical="top"/>
      <protection locked="0"/>
    </xf>
    <xf numFmtId="0" fontId="36" fillId="10" borderId="0" xfId="0" applyFont="1" applyFill="1" applyBorder="1" applyAlignment="1" applyProtection="1">
      <alignment horizontal="left" vertical="top"/>
      <protection locked="0"/>
    </xf>
    <xf numFmtId="0" fontId="36" fillId="10" borderId="13" xfId="0" applyFont="1" applyFill="1" applyBorder="1" applyAlignment="1" applyProtection="1">
      <alignment horizontal="left" vertical="top"/>
      <protection locked="0"/>
    </xf>
    <xf numFmtId="0" fontId="36" fillId="10" borderId="27" xfId="0" applyFont="1" applyFill="1" applyBorder="1" applyAlignment="1" applyProtection="1">
      <alignment vertical="top"/>
      <protection locked="0"/>
    </xf>
    <xf numFmtId="0" fontId="30" fillId="11" borderId="28" xfId="0" applyFont="1" applyFill="1" applyBorder="1" applyAlignment="1" applyProtection="1">
      <alignment horizontal="center" vertical="top"/>
      <protection locked="0"/>
    </xf>
    <xf numFmtId="0" fontId="36" fillId="10" borderId="19" xfId="0" applyFont="1" applyFill="1" applyBorder="1" applyAlignment="1" applyProtection="1">
      <alignment vertical="top"/>
      <protection locked="0"/>
    </xf>
    <xf numFmtId="0" fontId="30" fillId="12" borderId="6" xfId="0" applyFont="1" applyFill="1" applyBorder="1" applyAlignment="1" applyProtection="1">
      <alignment horizontal="center" vertical="top"/>
      <protection locked="0"/>
    </xf>
    <xf numFmtId="0" fontId="30" fillId="10" borderId="29" xfId="0" applyFont="1" applyFill="1" applyBorder="1" applyAlignment="1" applyProtection="1">
      <alignment horizontal="center" vertical="top"/>
    </xf>
    <xf numFmtId="0" fontId="36" fillId="10" borderId="20" xfId="0" applyFont="1" applyFill="1" applyBorder="1" applyAlignment="1" applyProtection="1">
      <alignment vertical="top"/>
      <protection locked="0"/>
    </xf>
    <xf numFmtId="0" fontId="30" fillId="10" borderId="82" xfId="0" applyFont="1" applyFill="1" applyBorder="1" applyAlignment="1" applyProtection="1">
      <alignment horizontal="center" vertical="top"/>
    </xf>
    <xf numFmtId="0" fontId="36" fillId="10" borderId="21" xfId="0" applyFont="1" applyFill="1" applyBorder="1" applyAlignment="1" applyProtection="1">
      <alignment vertical="top"/>
      <protection locked="0"/>
    </xf>
    <xf numFmtId="0" fontId="30" fillId="11" borderId="5" xfId="0" applyFont="1" applyFill="1" applyBorder="1" applyAlignment="1" applyProtection="1">
      <alignment horizontal="center" vertical="top"/>
      <protection locked="0"/>
    </xf>
    <xf numFmtId="0" fontId="28" fillId="10" borderId="7" xfId="0" applyFont="1" applyFill="1" applyBorder="1" applyAlignment="1" applyProtection="1">
      <alignment vertical="center" wrapText="1"/>
    </xf>
    <xf numFmtId="0" fontId="28" fillId="10" borderId="0" xfId="0" applyFont="1" applyFill="1" applyBorder="1" applyAlignment="1" applyProtection="1">
      <alignment vertical="center" wrapText="1"/>
    </xf>
    <xf numFmtId="0" fontId="30" fillId="10" borderId="0" xfId="0" applyFont="1" applyFill="1" applyBorder="1" applyAlignment="1" applyProtection="1">
      <alignment horizontal="left" vertical="top" wrapText="1"/>
      <protection locked="0"/>
    </xf>
    <xf numFmtId="6" fontId="30" fillId="10" borderId="0" xfId="0" applyNumberFormat="1" applyFont="1" applyFill="1" applyBorder="1" applyAlignment="1" applyProtection="1">
      <alignment horizontal="right" vertical="top" wrapText="1"/>
      <protection locked="0"/>
    </xf>
    <xf numFmtId="0" fontId="30" fillId="10" borderId="0" xfId="0" applyFont="1" applyFill="1" applyBorder="1" applyAlignment="1" applyProtection="1">
      <alignment vertical="top" wrapText="1"/>
      <protection locked="0"/>
    </xf>
    <xf numFmtId="0" fontId="30" fillId="10" borderId="0" xfId="0" applyFont="1" applyFill="1" applyBorder="1" applyAlignment="1" applyProtection="1">
      <alignment horizontal="right" vertical="top" wrapText="1"/>
      <protection locked="0"/>
    </xf>
    <xf numFmtId="0" fontId="30" fillId="10" borderId="13" xfId="0" applyFont="1" applyFill="1" applyBorder="1" applyAlignment="1" applyProtection="1">
      <alignment vertical="top"/>
      <protection locked="0"/>
    </xf>
    <xf numFmtId="0" fontId="28" fillId="10" borderId="31" xfId="0" applyFont="1" applyFill="1" applyBorder="1" applyAlignment="1" applyProtection="1">
      <alignment vertical="center" wrapText="1"/>
    </xf>
    <xf numFmtId="0" fontId="28" fillId="10" borderId="23" xfId="0" applyFont="1" applyFill="1" applyBorder="1" applyAlignment="1" applyProtection="1">
      <alignment vertical="center" wrapText="1"/>
    </xf>
    <xf numFmtId="0" fontId="36" fillId="10" borderId="0" xfId="0" applyFont="1" applyFill="1" applyBorder="1" applyAlignment="1" applyProtection="1">
      <alignment horizontal="left" vertical="top" wrapText="1"/>
    </xf>
    <xf numFmtId="0" fontId="36" fillId="10" borderId="0" xfId="0" applyFont="1" applyFill="1" applyBorder="1" applyAlignment="1" applyProtection="1">
      <alignment vertical="top"/>
    </xf>
    <xf numFmtId="0" fontId="36" fillId="0" borderId="0" xfId="0" applyFont="1" applyBorder="1" applyAlignment="1" applyProtection="1">
      <alignment vertical="top"/>
    </xf>
    <xf numFmtId="0" fontId="28" fillId="10" borderId="23" xfId="0" applyFont="1" applyFill="1" applyBorder="1" applyAlignment="1" applyProtection="1">
      <alignment vertical="top" wrapText="1"/>
    </xf>
    <xf numFmtId="0" fontId="28" fillId="10" borderId="32" xfId="0" applyFont="1" applyFill="1" applyBorder="1" applyAlignment="1" applyProtection="1">
      <alignment vertical="top" wrapText="1"/>
    </xf>
    <xf numFmtId="0" fontId="28" fillId="17" borderId="11" xfId="0" applyFont="1" applyFill="1" applyBorder="1" applyAlignment="1" applyProtection="1">
      <alignment horizontal="center" vertical="top" wrapText="1"/>
    </xf>
    <xf numFmtId="9" fontId="36" fillId="9" borderId="10" xfId="0" applyNumberFormat="1" applyFont="1" applyFill="1" applyBorder="1" applyAlignment="1" applyProtection="1">
      <alignment horizontal="center" vertical="top" wrapText="1"/>
    </xf>
    <xf numFmtId="9" fontId="36" fillId="9" borderId="10" xfId="0" applyNumberFormat="1" applyFont="1" applyFill="1" applyBorder="1" applyAlignment="1" applyProtection="1">
      <alignment horizontal="center" wrapText="1"/>
    </xf>
    <xf numFmtId="0" fontId="36" fillId="9" borderId="10" xfId="0" applyFont="1" applyFill="1" applyBorder="1" applyAlignment="1" applyProtection="1">
      <alignment horizontal="center" wrapText="1"/>
    </xf>
    <xf numFmtId="0" fontId="36" fillId="9" borderId="35" xfId="0" applyFont="1" applyFill="1" applyBorder="1" applyAlignment="1" applyProtection="1">
      <alignment horizontal="center" wrapText="1"/>
    </xf>
    <xf numFmtId="2" fontId="36" fillId="9" borderId="10" xfId="0" applyNumberFormat="1" applyFont="1" applyFill="1" applyBorder="1" applyAlignment="1" applyProtection="1">
      <alignment horizontal="center" wrapText="1"/>
    </xf>
    <xf numFmtId="9" fontId="36" fillId="9" borderId="22" xfId="0" applyNumberFormat="1" applyFont="1" applyFill="1" applyBorder="1" applyAlignment="1" applyProtection="1">
      <alignment horizontal="center" vertical="top" wrapText="1"/>
    </xf>
    <xf numFmtId="9" fontId="36" fillId="9" borderId="22" xfId="0" applyNumberFormat="1" applyFont="1" applyFill="1" applyBorder="1" applyAlignment="1" applyProtection="1">
      <alignment horizontal="center" wrapText="1"/>
    </xf>
    <xf numFmtId="0" fontId="36" fillId="9" borderId="22" xfId="0" applyFont="1" applyFill="1" applyBorder="1" applyAlignment="1" applyProtection="1">
      <alignment horizontal="center" wrapText="1"/>
    </xf>
    <xf numFmtId="0" fontId="36" fillId="9" borderId="7" xfId="0" applyFont="1" applyFill="1" applyBorder="1" applyAlignment="1" applyProtection="1">
      <alignment horizontal="center" wrapText="1"/>
    </xf>
    <xf numFmtId="10" fontId="30" fillId="9" borderId="22" xfId="6" applyNumberFormat="1" applyFont="1" applyFill="1" applyBorder="1" applyAlignment="1" applyProtection="1">
      <alignment horizontal="center" wrapText="1"/>
    </xf>
    <xf numFmtId="9" fontId="36" fillId="9" borderId="12" xfId="0" applyNumberFormat="1" applyFont="1" applyFill="1" applyBorder="1" applyAlignment="1" applyProtection="1">
      <alignment horizontal="center" vertical="top" wrapText="1"/>
    </xf>
    <xf numFmtId="9" fontId="36" fillId="9" borderId="31" xfId="0" applyNumberFormat="1" applyFont="1" applyFill="1" applyBorder="1" applyAlignment="1" applyProtection="1">
      <alignment horizontal="center" vertical="top" wrapText="1"/>
    </xf>
    <xf numFmtId="9" fontId="36" fillId="9" borderId="23" xfId="0" applyNumberFormat="1" applyFont="1" applyFill="1" applyBorder="1" applyAlignment="1" applyProtection="1">
      <alignment horizontal="center" vertical="top" wrapText="1"/>
    </xf>
    <xf numFmtId="9" fontId="36" fillId="9" borderId="32" xfId="0" applyNumberFormat="1" applyFont="1" applyFill="1" applyBorder="1" applyAlignment="1" applyProtection="1">
      <alignment horizontal="center" vertical="top" wrapText="1"/>
    </xf>
    <xf numFmtId="0" fontId="36" fillId="9" borderId="12" xfId="0" applyFont="1" applyFill="1" applyBorder="1" applyAlignment="1" applyProtection="1">
      <alignment horizontal="center" vertical="top" wrapText="1"/>
    </xf>
    <xf numFmtId="0" fontId="36" fillId="9" borderId="31" xfId="0" applyFont="1" applyFill="1" applyBorder="1" applyAlignment="1" applyProtection="1">
      <alignment horizontal="center" vertical="top" wrapText="1"/>
    </xf>
    <xf numFmtId="2" fontId="36" fillId="9" borderId="111" xfId="0" applyNumberFormat="1" applyFont="1" applyFill="1" applyBorder="1" applyAlignment="1" applyProtection="1">
      <alignment horizontal="center" vertical="top" wrapText="1"/>
    </xf>
    <xf numFmtId="0" fontId="36" fillId="9" borderId="12" xfId="0" applyFont="1" applyFill="1" applyBorder="1" applyAlignment="1" applyProtection="1">
      <alignment horizontal="center" vertical="center" wrapText="1"/>
    </xf>
    <xf numFmtId="0" fontId="36" fillId="10" borderId="75" xfId="0" applyFont="1" applyFill="1" applyBorder="1" applyAlignment="1" applyProtection="1">
      <alignment horizontal="center" vertical="top"/>
      <protection locked="0"/>
    </xf>
    <xf numFmtId="0" fontId="36" fillId="10" borderId="75" xfId="0" applyFont="1" applyFill="1" applyBorder="1" applyAlignment="1" applyProtection="1">
      <alignment horizontal="left" vertical="top"/>
      <protection locked="0"/>
    </xf>
    <xf numFmtId="0" fontId="36" fillId="10" borderId="75" xfId="0" applyFont="1" applyFill="1" applyBorder="1" applyAlignment="1" applyProtection="1">
      <alignment horizontal="right" vertical="top"/>
      <protection locked="0"/>
    </xf>
    <xf numFmtId="164" fontId="36" fillId="10" borderId="75" xfId="0" applyNumberFormat="1" applyFont="1" applyFill="1" applyBorder="1" applyAlignment="1" applyProtection="1">
      <alignment vertical="top"/>
      <protection locked="0"/>
    </xf>
    <xf numFmtId="164" fontId="36" fillId="10" borderId="75" xfId="0" applyNumberFormat="1" applyFont="1" applyFill="1" applyBorder="1" applyAlignment="1" applyProtection="1">
      <alignment horizontal="center" vertical="top"/>
      <protection locked="0"/>
    </xf>
    <xf numFmtId="2" fontId="36" fillId="10" borderId="117" xfId="0" applyNumberFormat="1" applyFont="1" applyFill="1" applyBorder="1" applyAlignment="1" applyProtection="1">
      <alignment vertical="top"/>
    </xf>
    <xf numFmtId="2" fontId="36" fillId="10" borderId="75" xfId="0" applyNumberFormat="1" applyFont="1" applyFill="1" applyBorder="1" applyAlignment="1" applyProtection="1">
      <alignment vertical="top"/>
    </xf>
    <xf numFmtId="2" fontId="36" fillId="10" borderId="118" xfId="0" applyNumberFormat="1" applyFont="1" applyFill="1" applyBorder="1" applyAlignment="1" applyProtection="1">
      <alignment vertical="top"/>
    </xf>
    <xf numFmtId="2" fontId="36" fillId="16" borderId="118" xfId="0" applyNumberFormat="1" applyFont="1" applyFill="1" applyBorder="1" applyAlignment="1" applyProtection="1">
      <alignment vertical="top"/>
      <protection locked="0"/>
    </xf>
    <xf numFmtId="0" fontId="30" fillId="0" borderId="0" xfId="0" applyFont="1" applyAlignment="1" applyProtection="1">
      <alignment horizontal="center" vertical="top"/>
      <protection locked="0"/>
    </xf>
    <xf numFmtId="0" fontId="39" fillId="10" borderId="7" xfId="0" applyFont="1" applyFill="1" applyBorder="1" applyAlignment="1" applyProtection="1">
      <alignment horizontal="right" vertical="top"/>
      <protection locked="0"/>
    </xf>
    <xf numFmtId="0" fontId="39" fillId="10" borderId="0" xfId="0" applyFont="1" applyFill="1" applyBorder="1" applyAlignment="1" applyProtection="1">
      <alignment horizontal="right" vertical="top"/>
      <protection locked="0"/>
    </xf>
    <xf numFmtId="0" fontId="39" fillId="10" borderId="0" xfId="0" applyFont="1" applyFill="1" applyBorder="1" applyAlignment="1" applyProtection="1">
      <alignment horizontal="left" vertical="top"/>
      <protection locked="0"/>
    </xf>
    <xf numFmtId="0" fontId="39" fillId="10" borderId="13" xfId="0" applyFont="1" applyFill="1" applyBorder="1" applyAlignment="1" applyProtection="1">
      <alignment horizontal="left" vertical="top"/>
      <protection locked="0"/>
    </xf>
    <xf numFmtId="0" fontId="45" fillId="10" borderId="0" xfId="0" applyFont="1" applyFill="1" applyBorder="1" applyAlignment="1" applyProtection="1">
      <alignment vertical="center" wrapText="1"/>
    </xf>
    <xf numFmtId="0" fontId="45" fillId="10" borderId="31" xfId="0" applyFont="1" applyFill="1" applyBorder="1" applyAlignment="1" applyProtection="1">
      <alignment vertical="center" wrapText="1"/>
    </xf>
    <xf numFmtId="0" fontId="45" fillId="10" borderId="23" xfId="0" applyFont="1" applyFill="1" applyBorder="1" applyAlignment="1" applyProtection="1">
      <alignment vertical="center" wrapText="1"/>
    </xf>
    <xf numFmtId="0" fontId="39" fillId="9" borderId="12" xfId="0" applyFont="1" applyFill="1" applyBorder="1" applyAlignment="1" applyProtection="1">
      <alignment horizontal="center" vertical="top" wrapText="1"/>
    </xf>
    <xf numFmtId="0" fontId="33" fillId="0" borderId="48" xfId="0" applyFont="1" applyFill="1" applyBorder="1" applyAlignment="1" applyProtection="1">
      <alignment horizontal="center" vertical="top" wrapText="1"/>
      <protection locked="0"/>
    </xf>
    <xf numFmtId="0" fontId="33" fillId="0" borderId="38" xfId="0" applyFont="1" applyBorder="1" applyAlignment="1" applyProtection="1">
      <alignment vertical="center" textRotation="90" wrapText="1"/>
      <protection locked="0"/>
    </xf>
    <xf numFmtId="166" fontId="33" fillId="0" borderId="3" xfId="0" applyNumberFormat="1" applyFont="1" applyFill="1" applyBorder="1" applyAlignment="1" applyProtection="1">
      <alignment vertical="top" wrapText="1"/>
      <protection locked="0"/>
    </xf>
    <xf numFmtId="166" fontId="33" fillId="0" borderId="3" xfId="0" applyNumberFormat="1" applyFont="1" applyFill="1" applyBorder="1" applyAlignment="1" applyProtection="1">
      <alignment vertical="top" wrapText="1"/>
    </xf>
    <xf numFmtId="166" fontId="33" fillId="0" borderId="15" xfId="0" applyNumberFormat="1" applyFont="1" applyFill="1" applyBorder="1" applyAlignment="1" applyProtection="1">
      <alignment vertical="top" wrapText="1"/>
    </xf>
    <xf numFmtId="166" fontId="33" fillId="0" borderId="115" xfId="0" applyNumberFormat="1" applyFont="1" applyFill="1" applyBorder="1" applyAlignment="1" applyProtection="1">
      <alignment vertical="top" wrapText="1"/>
    </xf>
    <xf numFmtId="0" fontId="33" fillId="0" borderId="1" xfId="0" applyFont="1" applyBorder="1" applyAlignment="1" applyProtection="1">
      <alignment horizontal="left" vertical="top" wrapText="1"/>
      <protection locked="0"/>
    </xf>
    <xf numFmtId="0" fontId="33" fillId="0" borderId="16" xfId="0" applyFont="1" applyBorder="1" applyAlignment="1" applyProtection="1">
      <alignment vertical="top" wrapText="1"/>
      <protection locked="0"/>
    </xf>
    <xf numFmtId="166" fontId="33" fillId="0" borderId="1" xfId="0" applyNumberFormat="1" applyFont="1" applyFill="1" applyBorder="1" applyAlignment="1" applyProtection="1">
      <alignment vertical="top" wrapText="1"/>
    </xf>
    <xf numFmtId="0" fontId="33" fillId="0" borderId="1" xfId="0" applyFont="1" applyFill="1" applyBorder="1" applyAlignment="1" applyProtection="1">
      <alignment horizontal="center" vertical="top" wrapText="1"/>
      <protection locked="0"/>
    </xf>
    <xf numFmtId="2" fontId="33" fillId="13" borderId="1" xfId="0" applyNumberFormat="1" applyFont="1" applyFill="1" applyBorder="1" applyAlignment="1" applyProtection="1">
      <alignment horizontal="center" vertical="top" wrapText="1"/>
    </xf>
    <xf numFmtId="0" fontId="33" fillId="0" borderId="1" xfId="0" applyFont="1" applyFill="1" applyBorder="1" applyAlignment="1" applyProtection="1">
      <alignment horizontal="left" vertical="top" wrapText="1"/>
      <protection locked="0"/>
    </xf>
    <xf numFmtId="0" fontId="33" fillId="0" borderId="16" xfId="0" applyFont="1" applyFill="1" applyBorder="1" applyAlignment="1" applyProtection="1">
      <alignment vertical="top" wrapText="1"/>
      <protection locked="0"/>
    </xf>
    <xf numFmtId="0" fontId="33" fillId="14" borderId="16" xfId="0" applyFont="1" applyFill="1" applyBorder="1" applyAlignment="1" applyProtection="1">
      <alignment vertical="top" wrapText="1"/>
      <protection locked="0"/>
    </xf>
    <xf numFmtId="2" fontId="33" fillId="0" borderId="1" xfId="0" applyNumberFormat="1" applyFont="1" applyFill="1" applyBorder="1" applyAlignment="1" applyProtection="1">
      <alignment horizontal="center" vertical="top" wrapText="1"/>
    </xf>
    <xf numFmtId="0" fontId="39"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left" vertical="top" wrapText="1"/>
      <protection locked="0"/>
    </xf>
    <xf numFmtId="0" fontId="39" fillId="0" borderId="16" xfId="0" applyFont="1" applyFill="1" applyBorder="1" applyAlignment="1" applyProtection="1">
      <alignment vertical="top" wrapText="1"/>
      <protection locked="0"/>
    </xf>
    <xf numFmtId="166" fontId="39" fillId="0" borderId="1" xfId="0" applyNumberFormat="1" applyFont="1" applyFill="1" applyBorder="1" applyAlignment="1" applyProtection="1">
      <alignment vertical="top" wrapText="1"/>
    </xf>
    <xf numFmtId="166" fontId="39" fillId="0" borderId="115" xfId="0" applyNumberFormat="1" applyFont="1" applyFill="1" applyBorder="1" applyAlignment="1" applyProtection="1">
      <alignment vertical="top" wrapText="1"/>
    </xf>
    <xf numFmtId="0" fontId="33" fillId="0" borderId="1" xfId="0" applyFont="1" applyFill="1" applyBorder="1" applyAlignment="1" applyProtection="1">
      <alignment horizontal="left" vertical="top"/>
      <protection locked="0"/>
    </xf>
    <xf numFmtId="0" fontId="33" fillId="14" borderId="16" xfId="0" applyFont="1" applyFill="1" applyBorder="1" applyAlignment="1" applyProtection="1">
      <alignment vertical="top"/>
      <protection locked="0"/>
    </xf>
    <xf numFmtId="0" fontId="33" fillId="0" borderId="1" xfId="0" applyFont="1" applyBorder="1" applyAlignment="1" applyProtection="1">
      <alignment horizontal="center" vertical="top"/>
      <protection locked="0"/>
    </xf>
    <xf numFmtId="0" fontId="33" fillId="0" borderId="1" xfId="0" applyFont="1" applyBorder="1" applyAlignment="1" applyProtection="1">
      <alignment horizontal="left" vertical="top"/>
      <protection locked="0"/>
    </xf>
    <xf numFmtId="0" fontId="33" fillId="0" borderId="16" xfId="0" applyFont="1" applyBorder="1" applyAlignment="1" applyProtection="1">
      <alignment vertical="top"/>
      <protection locked="0"/>
    </xf>
    <xf numFmtId="2" fontId="33" fillId="0" borderId="1" xfId="0" applyNumberFormat="1" applyFont="1" applyFill="1" applyBorder="1" applyAlignment="1" applyProtection="1">
      <alignment vertical="top"/>
      <protection locked="0"/>
    </xf>
    <xf numFmtId="2" fontId="33" fillId="0" borderId="16" xfId="0" applyNumberFormat="1" applyFont="1" applyFill="1" applyBorder="1" applyAlignment="1" applyProtection="1">
      <alignment vertical="top" wrapText="1"/>
    </xf>
    <xf numFmtId="2" fontId="33" fillId="0" borderId="115" xfId="0" applyNumberFormat="1" applyFont="1" applyFill="1" applyBorder="1" applyAlignment="1" applyProtection="1">
      <alignment vertical="top" wrapText="1"/>
    </xf>
    <xf numFmtId="0" fontId="33" fillId="10" borderId="0" xfId="0" applyFont="1" applyFill="1" applyBorder="1" applyAlignment="1" applyProtection="1">
      <alignment horizontal="left" vertical="top"/>
      <protection locked="0"/>
    </xf>
    <xf numFmtId="2" fontId="33" fillId="10" borderId="0" xfId="0" applyNumberFormat="1" applyFont="1" applyFill="1" applyBorder="1" applyAlignment="1" applyProtection="1">
      <alignment vertical="top"/>
    </xf>
    <xf numFmtId="0" fontId="33" fillId="10" borderId="22" xfId="0" applyFont="1" applyFill="1" applyBorder="1" applyAlignment="1" applyProtection="1">
      <alignment vertical="top"/>
      <protection locked="0"/>
    </xf>
    <xf numFmtId="0" fontId="33" fillId="5" borderId="0" xfId="0" applyFont="1" applyFill="1" applyBorder="1" applyAlignment="1" applyProtection="1">
      <alignment vertical="top"/>
      <protection locked="0"/>
    </xf>
    <xf numFmtId="0" fontId="33" fillId="0" borderId="0" xfId="0" applyFont="1" applyAlignment="1" applyProtection="1">
      <alignment horizontal="left" vertical="top"/>
      <protection locked="0"/>
    </xf>
    <xf numFmtId="0" fontId="33" fillId="10" borderId="0" xfId="0" applyFont="1" applyFill="1" applyAlignment="1" applyProtection="1">
      <alignment horizontal="left" vertical="top"/>
      <protection locked="0"/>
    </xf>
    <xf numFmtId="0" fontId="36" fillId="0" borderId="19" xfId="0" applyFont="1" applyFill="1" applyBorder="1" applyAlignment="1" applyProtection="1">
      <alignment vertical="top"/>
      <protection locked="0"/>
    </xf>
    <xf numFmtId="0" fontId="30" fillId="0" borderId="6" xfId="0" applyFont="1" applyFill="1" applyBorder="1" applyAlignment="1" applyProtection="1">
      <alignment horizontal="center" vertical="top"/>
    </xf>
    <xf numFmtId="0" fontId="36" fillId="0" borderId="20" xfId="0" applyFont="1" applyFill="1" applyBorder="1" applyAlignment="1" applyProtection="1">
      <alignment vertical="top"/>
      <protection locked="0"/>
    </xf>
    <xf numFmtId="0" fontId="30" fillId="0" borderId="82" xfId="0" applyFont="1" applyFill="1" applyBorder="1" applyAlignment="1" applyProtection="1">
      <alignment horizontal="center" vertical="top"/>
    </xf>
    <xf numFmtId="0" fontId="36" fillId="0" borderId="21" xfId="0" applyFont="1" applyFill="1" applyBorder="1" applyAlignment="1" applyProtection="1">
      <alignment vertical="top"/>
      <protection locked="0"/>
    </xf>
    <xf numFmtId="0" fontId="30" fillId="0" borderId="29" xfId="0" applyFont="1" applyFill="1" applyBorder="1" applyAlignment="1" applyProtection="1">
      <alignment horizontal="center" vertical="top"/>
    </xf>
    <xf numFmtId="0" fontId="36" fillId="0" borderId="23" xfId="0" applyFont="1" applyFill="1" applyBorder="1" applyAlignment="1" applyProtection="1">
      <alignment horizontal="center" vertical="top"/>
      <protection locked="0"/>
    </xf>
    <xf numFmtId="0" fontId="36" fillId="0" borderId="23" xfId="0" applyFont="1" applyFill="1" applyBorder="1" applyAlignment="1" applyProtection="1">
      <alignment horizontal="left" vertical="top"/>
      <protection locked="0"/>
    </xf>
    <xf numFmtId="0" fontId="36" fillId="0" borderId="23" xfId="0" applyFont="1" applyFill="1" applyBorder="1" applyAlignment="1" applyProtection="1">
      <alignment horizontal="right" vertical="top"/>
      <protection locked="0"/>
    </xf>
    <xf numFmtId="164" fontId="36" fillId="0" borderId="23" xfId="0" applyNumberFormat="1" applyFont="1" applyFill="1" applyBorder="1" applyAlignment="1" applyProtection="1">
      <alignment vertical="top"/>
      <protection locked="0"/>
    </xf>
    <xf numFmtId="164" fontId="36" fillId="0" borderId="23" xfId="0" applyNumberFormat="1" applyFont="1" applyFill="1" applyBorder="1" applyAlignment="1" applyProtection="1">
      <alignment horizontal="center" vertical="top"/>
      <protection locked="0"/>
    </xf>
    <xf numFmtId="2" fontId="36" fillId="0" borderId="53" xfId="0" applyNumberFormat="1" applyFont="1" applyFill="1" applyBorder="1" applyAlignment="1" applyProtection="1">
      <alignment vertical="top"/>
    </xf>
    <xf numFmtId="2" fontId="36" fillId="0" borderId="52" xfId="0" applyNumberFormat="1" applyFont="1" applyFill="1" applyBorder="1" applyAlignment="1" applyProtection="1">
      <alignment vertical="top"/>
    </xf>
    <xf numFmtId="2" fontId="36" fillId="0" borderId="31" xfId="0" applyNumberFormat="1" applyFont="1" applyFill="1" applyBorder="1" applyAlignment="1" applyProtection="1">
      <alignment vertical="top"/>
    </xf>
    <xf numFmtId="2" fontId="30" fillId="0" borderId="0" xfId="0" applyNumberFormat="1" applyFont="1" applyAlignment="1" applyProtection="1">
      <alignment vertical="top"/>
      <protection locked="0"/>
    </xf>
    <xf numFmtId="0" fontId="36" fillId="9" borderId="10" xfId="0" applyFont="1" applyFill="1" applyBorder="1" applyAlignment="1" applyProtection="1">
      <alignment horizontal="center" vertical="center" wrapText="1"/>
    </xf>
    <xf numFmtId="0" fontId="39" fillId="10" borderId="32" xfId="0" applyFont="1" applyFill="1" applyBorder="1" applyAlignment="1" applyProtection="1">
      <alignment horizontal="left" vertical="top"/>
      <protection locked="0"/>
    </xf>
    <xf numFmtId="44" fontId="33" fillId="13" borderId="103" xfId="0" applyNumberFormat="1" applyFont="1" applyFill="1" applyBorder="1" applyAlignment="1" applyProtection="1">
      <alignment vertical="top"/>
    </xf>
    <xf numFmtId="0" fontId="39" fillId="10" borderId="7" xfId="0" applyFont="1" applyFill="1" applyBorder="1" applyAlignment="1" applyProtection="1">
      <alignment vertical="center" wrapText="1"/>
    </xf>
    <xf numFmtId="0" fontId="39" fillId="10" borderId="0" xfId="0" applyFont="1" applyFill="1" applyBorder="1" applyAlignment="1" applyProtection="1">
      <alignment vertical="center" wrapText="1"/>
    </xf>
    <xf numFmtId="0" fontId="39" fillId="9" borderId="34" xfId="0" applyFont="1" applyFill="1" applyBorder="1" applyAlignment="1" applyProtection="1">
      <alignment horizontal="center" vertical="center" wrapText="1"/>
    </xf>
    <xf numFmtId="2" fontId="39" fillId="9" borderId="112" xfId="0" applyNumberFormat="1" applyFont="1" applyFill="1" applyBorder="1" applyAlignment="1" applyProtection="1">
      <alignment horizontal="center" vertical="center" wrapText="1"/>
    </xf>
    <xf numFmtId="0" fontId="39" fillId="9" borderId="31" xfId="0" applyFont="1" applyFill="1" applyBorder="1" applyAlignment="1" applyProtection="1">
      <alignment horizontal="center" vertical="center" wrapText="1"/>
    </xf>
    <xf numFmtId="2" fontId="39" fillId="9" borderId="104" xfId="0" applyNumberFormat="1" applyFont="1" applyFill="1" applyBorder="1" applyAlignment="1" applyProtection="1">
      <alignment horizontal="center" vertical="center" wrapText="1"/>
    </xf>
    <xf numFmtId="10" fontId="33" fillId="9" borderId="104" xfId="6" applyNumberFormat="1" applyFont="1" applyFill="1" applyBorder="1" applyAlignment="1" applyProtection="1">
      <alignment horizontal="center" vertical="center" wrapText="1"/>
    </xf>
    <xf numFmtId="0" fontId="33" fillId="0" borderId="48" xfId="0" applyFont="1" applyFill="1" applyBorder="1" applyAlignment="1" applyProtection="1">
      <alignment vertical="top" wrapText="1"/>
      <protection locked="0"/>
    </xf>
    <xf numFmtId="0" fontId="33" fillId="16" borderId="3" xfId="0" applyFont="1" applyFill="1" applyBorder="1" applyAlignment="1" applyProtection="1">
      <alignment horizontal="left" vertical="top" wrapText="1"/>
      <protection locked="0"/>
    </xf>
    <xf numFmtId="0" fontId="33" fillId="16" borderId="15" xfId="0" applyFont="1" applyFill="1" applyBorder="1" applyAlignment="1" applyProtection="1">
      <alignment vertical="top" wrapText="1"/>
      <protection locked="0"/>
    </xf>
    <xf numFmtId="166" fontId="33" fillId="16" borderId="71" xfId="0" applyNumberFormat="1" applyFont="1" applyFill="1" applyBorder="1" applyAlignment="1" applyProtection="1">
      <alignment vertical="top" wrapText="1"/>
      <protection locked="0"/>
    </xf>
    <xf numFmtId="166" fontId="33" fillId="16" borderId="2" xfId="0" applyNumberFormat="1" applyFont="1" applyFill="1" applyBorder="1" applyAlignment="1" applyProtection="1">
      <alignment vertical="top" wrapText="1"/>
    </xf>
    <xf numFmtId="166" fontId="33" fillId="16" borderId="106" xfId="0" applyNumberFormat="1" applyFont="1" applyFill="1" applyBorder="1" applyAlignment="1" applyProtection="1">
      <alignment vertical="top" wrapText="1"/>
    </xf>
    <xf numFmtId="166" fontId="33" fillId="0" borderId="71" xfId="0" applyNumberFormat="1" applyFont="1" applyFill="1" applyBorder="1" applyAlignment="1" applyProtection="1">
      <alignment vertical="top" wrapText="1"/>
    </xf>
    <xf numFmtId="166" fontId="33" fillId="0" borderId="2" xfId="0" applyNumberFormat="1" applyFont="1" applyFill="1" applyBorder="1" applyAlignment="1" applyProtection="1">
      <alignment vertical="top" wrapText="1"/>
    </xf>
    <xf numFmtId="166" fontId="33" fillId="0" borderId="5" xfId="0" applyNumberFormat="1" applyFont="1" applyFill="1" applyBorder="1" applyAlignment="1" applyProtection="1">
      <alignment vertical="top" wrapText="1"/>
    </xf>
    <xf numFmtId="0" fontId="33" fillId="16" borderId="1" xfId="0" applyFont="1" applyFill="1" applyBorder="1" applyAlignment="1" applyProtection="1">
      <alignment horizontal="left" vertical="top" wrapText="1"/>
      <protection locked="0"/>
    </xf>
    <xf numFmtId="0" fontId="33" fillId="16" borderId="16" xfId="0" applyFont="1" applyFill="1" applyBorder="1" applyAlignment="1" applyProtection="1">
      <alignment vertical="top" wrapText="1"/>
      <protection locked="0"/>
    </xf>
    <xf numFmtId="166" fontId="33" fillId="16" borderId="47" xfId="0" applyNumberFormat="1" applyFont="1" applyFill="1" applyBorder="1" applyAlignment="1" applyProtection="1">
      <alignment vertical="top" wrapText="1"/>
      <protection locked="0"/>
    </xf>
    <xf numFmtId="166" fontId="33" fillId="16" borderId="3" xfId="0" applyNumberFormat="1" applyFont="1" applyFill="1" applyBorder="1" applyAlignment="1" applyProtection="1">
      <alignment vertical="top" wrapText="1"/>
    </xf>
    <xf numFmtId="166" fontId="33" fillId="16" borderId="6" xfId="0" applyNumberFormat="1" applyFont="1" applyFill="1" applyBorder="1" applyAlignment="1" applyProtection="1">
      <alignment vertical="top" wrapText="1"/>
    </xf>
    <xf numFmtId="166" fontId="33" fillId="0" borderId="47" xfId="0" applyNumberFormat="1" applyFont="1" applyFill="1" applyBorder="1" applyAlignment="1" applyProtection="1">
      <alignment vertical="top" wrapText="1"/>
    </xf>
    <xf numFmtId="166" fontId="33" fillId="0" borderId="6" xfId="0" applyNumberFormat="1" applyFont="1" applyFill="1" applyBorder="1" applyAlignment="1" applyProtection="1">
      <alignment vertical="top" wrapText="1"/>
    </xf>
    <xf numFmtId="166" fontId="39" fillId="0" borderId="47" xfId="0" applyNumberFormat="1" applyFont="1" applyFill="1" applyBorder="1" applyAlignment="1" applyProtection="1">
      <alignment vertical="top" wrapText="1"/>
    </xf>
    <xf numFmtId="166" fontId="39" fillId="0" borderId="6" xfId="0" applyNumberFormat="1" applyFont="1" applyFill="1" applyBorder="1" applyAlignment="1" applyProtection="1">
      <alignment vertical="top" wrapText="1"/>
    </xf>
    <xf numFmtId="166" fontId="33" fillId="15" borderId="47" xfId="0" applyNumberFormat="1" applyFont="1" applyFill="1" applyBorder="1" applyAlignment="1" applyProtection="1">
      <alignment vertical="top" wrapText="1"/>
      <protection locked="0"/>
    </xf>
    <xf numFmtId="0" fontId="33" fillId="0" borderId="47" xfId="0" applyFont="1" applyFill="1" applyBorder="1" applyAlignment="1" applyProtection="1">
      <alignment horizontal="center" vertical="top"/>
      <protection locked="0"/>
    </xf>
    <xf numFmtId="2" fontId="33" fillId="0" borderId="47" xfId="0" applyNumberFormat="1" applyFont="1" applyFill="1" applyBorder="1" applyAlignment="1" applyProtection="1">
      <alignment vertical="top"/>
      <protection locked="0"/>
    </xf>
    <xf numFmtId="2" fontId="33" fillId="0" borderId="1" xfId="0" applyNumberFormat="1" applyFont="1" applyFill="1" applyBorder="1" applyAlignment="1" applyProtection="1">
      <alignment vertical="top" wrapText="1"/>
    </xf>
    <xf numFmtId="2" fontId="33" fillId="0" borderId="6" xfId="0" applyNumberFormat="1" applyFont="1" applyFill="1" applyBorder="1" applyAlignment="1" applyProtection="1">
      <alignment vertical="top" wrapText="1"/>
    </xf>
    <xf numFmtId="2" fontId="33" fillId="0" borderId="47" xfId="0" applyNumberFormat="1" applyFont="1" applyFill="1" applyBorder="1" applyAlignment="1" applyProtection="1">
      <alignment vertical="top" wrapText="1"/>
    </xf>
    <xf numFmtId="0" fontId="33" fillId="10" borderId="7" xfId="0" applyFont="1" applyFill="1" applyBorder="1" applyAlignment="1" applyProtection="1">
      <alignment horizontal="center" vertical="top"/>
      <protection locked="0"/>
    </xf>
    <xf numFmtId="0" fontId="33" fillId="10" borderId="104" xfId="0" applyFont="1" applyFill="1" applyBorder="1" applyAlignment="1" applyProtection="1">
      <alignment vertical="top"/>
      <protection locked="0"/>
    </xf>
    <xf numFmtId="2" fontId="33" fillId="10" borderId="38" xfId="0" applyNumberFormat="1" applyFont="1" applyFill="1" applyBorder="1" applyAlignment="1" applyProtection="1">
      <alignment vertical="top"/>
    </xf>
    <xf numFmtId="0" fontId="33" fillId="10" borderId="60" xfId="0" applyFont="1" applyFill="1" applyBorder="1" applyAlignment="1" applyProtection="1">
      <alignment vertical="top"/>
      <protection locked="0"/>
    </xf>
    <xf numFmtId="44" fontId="33" fillId="13" borderId="54" xfId="0" applyNumberFormat="1" applyFont="1" applyFill="1" applyBorder="1" applyAlignment="1" applyProtection="1">
      <alignment vertical="top"/>
    </xf>
    <xf numFmtId="0" fontId="39" fillId="9" borderId="34" xfId="0" applyFont="1" applyFill="1" applyBorder="1" applyAlignment="1" applyProtection="1">
      <alignment horizontal="center" vertical="top" wrapText="1"/>
    </xf>
    <xf numFmtId="2" fontId="39" fillId="9" borderId="112" xfId="0" applyNumberFormat="1" applyFont="1" applyFill="1" applyBorder="1" applyAlignment="1" applyProtection="1">
      <alignment horizontal="center" vertical="top" wrapText="1"/>
    </xf>
    <xf numFmtId="2" fontId="39" fillId="9" borderId="114" xfId="0" applyNumberFormat="1" applyFont="1" applyFill="1" applyBorder="1" applyAlignment="1" applyProtection="1">
      <alignment horizontal="center" vertical="top" wrapText="1"/>
    </xf>
    <xf numFmtId="10" fontId="33" fillId="9" borderId="114" xfId="6" applyNumberFormat="1" applyFont="1" applyFill="1" applyBorder="1" applyAlignment="1" applyProtection="1">
      <alignment horizontal="center" vertical="top" wrapText="1"/>
    </xf>
    <xf numFmtId="10" fontId="33" fillId="9" borderId="113" xfId="6" applyNumberFormat="1" applyFont="1" applyFill="1" applyBorder="1" applyAlignment="1" applyProtection="1">
      <alignment horizontal="center" vertical="center" wrapText="1"/>
    </xf>
    <xf numFmtId="0" fontId="33" fillId="16" borderId="3" xfId="0" applyFont="1" applyFill="1" applyBorder="1" applyAlignment="1" applyProtection="1">
      <alignment vertical="top" wrapText="1"/>
      <protection locked="0"/>
    </xf>
    <xf numFmtId="166" fontId="33" fillId="16" borderId="3" xfId="0" applyNumberFormat="1" applyFont="1" applyFill="1" applyBorder="1" applyAlignment="1" applyProtection="1">
      <alignment vertical="top" wrapText="1"/>
      <protection locked="0"/>
    </xf>
    <xf numFmtId="166" fontId="33" fillId="16" borderId="15" xfId="0" applyNumberFormat="1" applyFont="1" applyFill="1" applyBorder="1" applyAlignment="1" applyProtection="1">
      <alignment vertical="top" wrapText="1"/>
    </xf>
    <xf numFmtId="166" fontId="33" fillId="16" borderId="110" xfId="0" applyNumberFormat="1" applyFont="1" applyFill="1" applyBorder="1" applyAlignment="1" applyProtection="1">
      <alignment vertical="top" wrapText="1"/>
    </xf>
    <xf numFmtId="166" fontId="33" fillId="0" borderId="48" xfId="0" applyNumberFormat="1" applyFont="1" applyFill="1" applyBorder="1" applyAlignment="1" applyProtection="1">
      <alignment vertical="top" wrapText="1"/>
    </xf>
    <xf numFmtId="166" fontId="33" fillId="0" borderId="27" xfId="0" applyNumberFormat="1" applyFont="1" applyFill="1" applyBorder="1" applyAlignment="1" applyProtection="1">
      <alignment vertical="top" wrapText="1"/>
    </xf>
    <xf numFmtId="166" fontId="33" fillId="0" borderId="88" xfId="0" applyNumberFormat="1" applyFont="1" applyFill="1" applyBorder="1" applyAlignment="1" applyProtection="1">
      <alignment vertical="top" wrapText="1"/>
    </xf>
    <xf numFmtId="0" fontId="33" fillId="16" borderId="1" xfId="0" applyFont="1" applyFill="1" applyBorder="1" applyAlignment="1" applyProtection="1">
      <alignment vertical="top" wrapText="1"/>
      <protection locked="0"/>
    </xf>
    <xf numFmtId="166" fontId="33" fillId="16" borderId="1" xfId="0" applyNumberFormat="1" applyFont="1" applyFill="1" applyBorder="1" applyAlignment="1" applyProtection="1">
      <alignment vertical="top" wrapText="1"/>
      <protection locked="0"/>
    </xf>
    <xf numFmtId="166" fontId="33" fillId="16" borderId="1" xfId="0" applyNumberFormat="1" applyFont="1" applyFill="1" applyBorder="1" applyAlignment="1" applyProtection="1">
      <alignment vertical="top" wrapText="1"/>
    </xf>
    <xf numFmtId="166" fontId="33" fillId="16" borderId="107" xfId="0" applyNumberFormat="1" applyFont="1" applyFill="1" applyBorder="1" applyAlignment="1" applyProtection="1">
      <alignment vertical="top" wrapText="1"/>
    </xf>
    <xf numFmtId="0" fontId="33" fillId="0" borderId="1" xfId="0" applyFont="1" applyBorder="1" applyAlignment="1" applyProtection="1">
      <alignment vertical="top" wrapText="1"/>
      <protection locked="0"/>
    </xf>
    <xf numFmtId="166" fontId="33" fillId="0" borderId="107" xfId="0" applyNumberFormat="1" applyFont="1" applyFill="1" applyBorder="1" applyAlignment="1" applyProtection="1">
      <alignment vertical="top" wrapText="1"/>
    </xf>
    <xf numFmtId="2" fontId="33" fillId="13"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vertical="top" wrapText="1"/>
      <protection locked="0"/>
    </xf>
    <xf numFmtId="0" fontId="39" fillId="0" borderId="1" xfId="0" applyFont="1" applyFill="1" applyBorder="1" applyAlignment="1" applyProtection="1">
      <alignment vertical="top" wrapText="1"/>
      <protection locked="0"/>
    </xf>
    <xf numFmtId="166" fontId="33" fillId="15" borderId="1" xfId="0" applyNumberFormat="1" applyFont="1" applyFill="1" applyBorder="1" applyAlignment="1" applyProtection="1">
      <alignment vertical="top" wrapText="1"/>
      <protection locked="0"/>
    </xf>
    <xf numFmtId="0" fontId="33" fillId="0" borderId="0" xfId="0" applyFont="1" applyBorder="1" applyAlignment="1" applyProtection="1">
      <alignment horizontal="left" vertical="top"/>
      <protection locked="0"/>
    </xf>
    <xf numFmtId="166" fontId="39" fillId="0" borderId="107" xfId="0" applyNumberFormat="1" applyFont="1" applyFill="1" applyBorder="1" applyAlignment="1" applyProtection="1">
      <alignment vertical="top" wrapText="1"/>
    </xf>
    <xf numFmtId="0" fontId="33" fillId="14" borderId="1" xfId="0" applyFont="1" applyFill="1" applyBorder="1" applyAlignment="1" applyProtection="1">
      <alignment vertical="top" wrapText="1"/>
      <protection locked="0"/>
    </xf>
    <xf numFmtId="0" fontId="33" fillId="14" borderId="1" xfId="0" applyFont="1" applyFill="1" applyBorder="1" applyAlignment="1" applyProtection="1">
      <alignment vertical="top"/>
      <protection locked="0"/>
    </xf>
    <xf numFmtId="166" fontId="39" fillId="15" borderId="1" xfId="0" applyNumberFormat="1" applyFont="1" applyFill="1" applyBorder="1" applyAlignment="1" applyProtection="1">
      <alignment vertical="top" wrapText="1"/>
      <protection locked="0"/>
    </xf>
    <xf numFmtId="0" fontId="39" fillId="14" borderId="1" xfId="0" applyFont="1" applyFill="1" applyBorder="1" applyAlignment="1" applyProtection="1">
      <alignment vertical="top"/>
      <protection locked="0"/>
    </xf>
    <xf numFmtId="166" fontId="33" fillId="15" borderId="1" xfId="0" applyNumberFormat="1" applyFont="1" applyFill="1" applyBorder="1" applyAlignment="1" applyProtection="1">
      <alignment vertical="top"/>
      <protection locked="0"/>
    </xf>
    <xf numFmtId="0" fontId="33" fillId="0" borderId="1" xfId="0" applyFont="1" applyBorder="1" applyAlignment="1" applyProtection="1">
      <alignment vertical="top"/>
      <protection locked="0"/>
    </xf>
    <xf numFmtId="2" fontId="33" fillId="0" borderId="107" xfId="0" applyNumberFormat="1" applyFont="1" applyFill="1" applyBorder="1" applyAlignment="1" applyProtection="1">
      <alignment vertical="top" wrapText="1"/>
    </xf>
    <xf numFmtId="2" fontId="33" fillId="0" borderId="19" xfId="0" applyNumberFormat="1" applyFont="1" applyFill="1" applyBorder="1" applyAlignment="1" applyProtection="1">
      <alignment vertical="top" wrapText="1"/>
    </xf>
    <xf numFmtId="0" fontId="33" fillId="10" borderId="108" xfId="0" applyFont="1" applyFill="1" applyBorder="1" applyAlignment="1" applyProtection="1">
      <alignment vertical="top"/>
      <protection locked="0"/>
    </xf>
    <xf numFmtId="0" fontId="45" fillId="0" borderId="0" xfId="0" applyFont="1" applyFill="1" applyBorder="1" applyAlignment="1" applyProtection="1">
      <alignment horizontal="center" vertical="top"/>
      <protection locked="0"/>
    </xf>
    <xf numFmtId="0" fontId="82" fillId="0" borderId="0" xfId="0" applyFont="1" applyFill="1" applyBorder="1" applyAlignment="1" applyProtection="1">
      <alignment horizontal="left" vertical="top"/>
      <protection locked="0"/>
    </xf>
    <xf numFmtId="0" fontId="33" fillId="0" borderId="0" xfId="0" applyFont="1" applyFill="1" applyBorder="1" applyAlignment="1" applyProtection="1">
      <alignment horizontal="center" vertical="top"/>
      <protection locked="0"/>
    </xf>
    <xf numFmtId="0" fontId="33" fillId="0" borderId="0" xfId="0" applyFont="1" applyFill="1" applyBorder="1" applyAlignment="1" applyProtection="1">
      <alignment horizontal="left" vertical="top"/>
      <protection locked="0"/>
    </xf>
    <xf numFmtId="44" fontId="33" fillId="13" borderId="82" xfId="0" applyNumberFormat="1" applyFont="1" applyFill="1" applyBorder="1" applyAlignment="1" applyProtection="1">
      <alignment vertical="top"/>
    </xf>
    <xf numFmtId="0" fontId="39" fillId="9" borderId="11" xfId="0" applyFont="1" applyFill="1" applyBorder="1" applyAlignment="1" applyProtection="1">
      <alignment horizontal="center" vertical="center" wrapText="1"/>
    </xf>
    <xf numFmtId="0" fontId="33" fillId="0" borderId="24" xfId="0" applyFont="1" applyBorder="1" applyAlignment="1" applyProtection="1">
      <alignment vertical="center" textRotation="90" wrapText="1"/>
      <protection locked="0"/>
    </xf>
    <xf numFmtId="0" fontId="33" fillId="0" borderId="3" xfId="0" applyFont="1" applyBorder="1" applyAlignment="1" applyProtection="1">
      <alignment horizontal="right" vertical="top" wrapText="1"/>
      <protection locked="0"/>
    </xf>
    <xf numFmtId="0" fontId="33" fillId="0" borderId="3" xfId="0" applyFont="1" applyBorder="1" applyAlignment="1" applyProtection="1">
      <alignment vertical="top" wrapText="1"/>
      <protection locked="0"/>
    </xf>
    <xf numFmtId="0" fontId="33" fillId="0" borderId="1" xfId="0" applyFont="1" applyBorder="1" applyAlignment="1" applyProtection="1">
      <alignment horizontal="right" vertical="top" wrapText="1"/>
      <protection locked="0"/>
    </xf>
    <xf numFmtId="166" fontId="33" fillId="0" borderId="1" xfId="0" applyNumberFormat="1" applyFont="1" applyFill="1" applyBorder="1" applyAlignment="1" applyProtection="1">
      <alignment vertical="top" wrapText="1"/>
      <protection locked="0"/>
    </xf>
    <xf numFmtId="0" fontId="33" fillId="16" borderId="1" xfId="0" applyFont="1" applyFill="1" applyBorder="1" applyAlignment="1" applyProtection="1">
      <alignment horizontal="left" vertical="top" wrapText="1"/>
    </xf>
    <xf numFmtId="166" fontId="39" fillId="16" borderId="15" xfId="0" applyNumberFormat="1" applyFont="1" applyFill="1" applyBorder="1" applyAlignment="1" applyProtection="1">
      <alignment vertical="top" wrapText="1"/>
    </xf>
    <xf numFmtId="166" fontId="39" fillId="0" borderId="15" xfId="0" applyNumberFormat="1" applyFont="1" applyFill="1" applyBorder="1" applyAlignment="1" applyProtection="1">
      <alignment vertical="top" wrapText="1"/>
    </xf>
    <xf numFmtId="2" fontId="33" fillId="16" borderId="16" xfId="0" applyNumberFormat="1" applyFont="1" applyFill="1" applyBorder="1" applyAlignment="1" applyProtection="1">
      <alignment vertical="top" wrapText="1"/>
    </xf>
    <xf numFmtId="166" fontId="33" fillId="0" borderId="0" xfId="0" applyNumberFormat="1" applyFont="1" applyFill="1" applyBorder="1" applyAlignment="1" applyProtection="1">
      <alignment vertical="top"/>
    </xf>
    <xf numFmtId="2" fontId="33" fillId="10" borderId="0" xfId="0" applyNumberFormat="1" applyFont="1" applyFill="1" applyAlignment="1" applyProtection="1">
      <alignment vertical="top"/>
      <protection locked="0"/>
    </xf>
    <xf numFmtId="0" fontId="45" fillId="10" borderId="0" xfId="0" applyFont="1" applyFill="1" applyBorder="1" applyAlignment="1" applyProtection="1">
      <alignment horizontal="center" vertical="top"/>
      <protection locked="0"/>
    </xf>
    <xf numFmtId="0" fontId="33" fillId="0" borderId="0" xfId="0" applyFont="1" applyBorder="1" applyAlignment="1" applyProtection="1">
      <alignment horizontal="center" vertical="top"/>
      <protection locked="0"/>
    </xf>
    <xf numFmtId="0" fontId="31" fillId="10" borderId="0" xfId="0" applyFont="1" applyFill="1" applyBorder="1" applyAlignment="1" applyProtection="1">
      <alignment vertical="center"/>
      <protection locked="0"/>
    </xf>
    <xf numFmtId="0" fontId="31" fillId="0" borderId="0" xfId="0" applyFont="1" applyBorder="1" applyAlignment="1" applyProtection="1">
      <alignment vertical="center"/>
      <protection locked="0"/>
    </xf>
    <xf numFmtId="0" fontId="33" fillId="0" borderId="1" xfId="0" applyFont="1" applyFill="1" applyBorder="1" applyAlignment="1" applyProtection="1">
      <alignment horizontal="left" vertical="top" wrapText="1"/>
    </xf>
    <xf numFmtId="166" fontId="33" fillId="0" borderId="120" xfId="0" applyNumberFormat="1" applyFont="1" applyFill="1" applyBorder="1" applyAlignment="1" applyProtection="1">
      <alignment vertical="top" wrapText="1"/>
    </xf>
    <xf numFmtId="166" fontId="33" fillId="0" borderId="42" xfId="0" applyNumberFormat="1" applyFont="1" applyFill="1" applyBorder="1" applyAlignment="1" applyProtection="1">
      <alignment vertical="top" wrapText="1"/>
    </xf>
    <xf numFmtId="166" fontId="33" fillId="0" borderId="16" xfId="0" applyNumberFormat="1" applyFont="1" applyFill="1" applyBorder="1" applyAlignment="1" applyProtection="1">
      <alignment vertical="top" wrapText="1"/>
    </xf>
    <xf numFmtId="166" fontId="39" fillId="0" borderId="16" xfId="0" applyNumberFormat="1" applyFont="1" applyFill="1" applyBorder="1" applyAlignment="1" applyProtection="1">
      <alignment vertical="top" wrapText="1"/>
    </xf>
    <xf numFmtId="0" fontId="33" fillId="0" borderId="63" xfId="0" applyFont="1" applyFill="1" applyBorder="1" applyAlignment="1" applyProtection="1">
      <alignment vertical="top"/>
      <protection locked="0"/>
    </xf>
    <xf numFmtId="166" fontId="33" fillId="0" borderId="122" xfId="0" applyNumberFormat="1" applyFont="1" applyFill="1" applyBorder="1" applyAlignment="1" applyProtection="1">
      <alignment vertical="top" wrapText="1"/>
    </xf>
    <xf numFmtId="0" fontId="33" fillId="0" borderId="104" xfId="0" applyFont="1" applyFill="1" applyBorder="1" applyAlignment="1" applyProtection="1">
      <alignment vertical="top"/>
      <protection locked="0"/>
    </xf>
    <xf numFmtId="2" fontId="39" fillId="0" borderId="51" xfId="0" applyNumberFormat="1" applyFont="1" applyFill="1" applyBorder="1" applyAlignment="1" applyProtection="1">
      <alignment vertical="top"/>
      <protection locked="0"/>
    </xf>
    <xf numFmtId="0" fontId="36" fillId="9" borderId="22" xfId="0" applyFont="1" applyFill="1" applyBorder="1" applyAlignment="1" applyProtection="1">
      <alignment horizontal="center" vertical="center" wrapText="1"/>
    </xf>
    <xf numFmtId="166" fontId="30" fillId="0" borderId="44" xfId="0" applyNumberFormat="1" applyFont="1" applyFill="1" applyBorder="1" applyAlignment="1" applyProtection="1">
      <alignment vertical="top" wrapText="1"/>
    </xf>
    <xf numFmtId="166" fontId="36" fillId="0" borderId="44" xfId="0" applyNumberFormat="1" applyFont="1" applyFill="1" applyBorder="1" applyAlignment="1" applyProtection="1">
      <alignment vertical="top" wrapText="1"/>
    </xf>
    <xf numFmtId="2" fontId="30" fillId="0" borderId="44" xfId="0" applyNumberFormat="1" applyFont="1" applyFill="1" applyBorder="1" applyAlignment="1" applyProtection="1">
      <alignment vertical="top" wrapText="1"/>
    </xf>
    <xf numFmtId="0" fontId="30" fillId="10" borderId="41" xfId="0" applyFont="1" applyFill="1" applyBorder="1" applyAlignment="1" applyProtection="1">
      <alignment vertical="top"/>
      <protection locked="0"/>
    </xf>
    <xf numFmtId="2" fontId="39" fillId="10" borderId="123" xfId="0" applyNumberFormat="1" applyFont="1" applyFill="1" applyBorder="1" applyAlignment="1" applyProtection="1">
      <alignment vertical="top"/>
    </xf>
    <xf numFmtId="2" fontId="30" fillId="10" borderId="37" xfId="0" applyNumberFormat="1" applyFont="1" applyFill="1" applyBorder="1" applyAlignment="1" applyProtection="1">
      <alignment vertical="top"/>
    </xf>
    <xf numFmtId="2" fontId="39" fillId="10" borderId="87" xfId="0" applyNumberFormat="1" applyFont="1" applyFill="1" applyBorder="1" applyAlignment="1" applyProtection="1">
      <alignment vertical="top"/>
    </xf>
    <xf numFmtId="166" fontId="30" fillId="0" borderId="50" xfId="0" applyNumberFormat="1" applyFont="1" applyFill="1" applyBorder="1" applyAlignment="1" applyProtection="1">
      <alignment vertical="top" wrapText="1"/>
    </xf>
    <xf numFmtId="166" fontId="36" fillId="0" borderId="50" xfId="0" applyNumberFormat="1" applyFont="1" applyFill="1" applyBorder="1" applyAlignment="1" applyProtection="1">
      <alignment vertical="top" wrapText="1"/>
    </xf>
    <xf numFmtId="2" fontId="30" fillId="0" borderId="50" xfId="0" applyNumberFormat="1" applyFont="1" applyFill="1" applyBorder="1" applyAlignment="1" applyProtection="1">
      <alignment vertical="top" wrapText="1"/>
    </xf>
    <xf numFmtId="2" fontId="39" fillId="10" borderId="82" xfId="0" applyNumberFormat="1" applyFont="1" applyFill="1" applyBorder="1" applyAlignment="1" applyProtection="1">
      <alignment vertical="top"/>
    </xf>
    <xf numFmtId="2" fontId="30" fillId="10" borderId="58" xfId="0" applyNumberFormat="1" applyFont="1" applyFill="1" applyBorder="1" applyAlignment="1" applyProtection="1">
      <alignment vertical="top"/>
    </xf>
    <xf numFmtId="2" fontId="39" fillId="10" borderId="61" xfId="0" applyNumberFormat="1" applyFont="1" applyFill="1" applyBorder="1" applyAlignment="1" applyProtection="1">
      <alignment vertical="top"/>
    </xf>
    <xf numFmtId="9" fontId="35" fillId="9" borderId="10" xfId="0" applyNumberFormat="1" applyFont="1" applyFill="1" applyBorder="1" applyAlignment="1" applyProtection="1">
      <alignment horizontal="center" vertical="center" wrapText="1"/>
    </xf>
    <xf numFmtId="0" fontId="35" fillId="9" borderId="11" xfId="0" applyFont="1" applyFill="1" applyBorder="1" applyAlignment="1" applyProtection="1">
      <alignment horizontal="center" vertical="center" wrapText="1"/>
    </xf>
    <xf numFmtId="9" fontId="35" fillId="9" borderId="12" xfId="0" applyNumberFormat="1" applyFont="1" applyFill="1" applyBorder="1" applyAlignment="1" applyProtection="1">
      <alignment horizontal="center" vertical="center" wrapText="1"/>
    </xf>
    <xf numFmtId="0" fontId="35" fillId="9" borderId="12" xfId="0" applyFont="1" applyFill="1" applyBorder="1" applyAlignment="1" applyProtection="1">
      <alignment horizontal="center" vertical="center" wrapText="1"/>
    </xf>
    <xf numFmtId="0" fontId="35" fillId="9" borderId="105" xfId="0" applyFont="1" applyFill="1" applyBorder="1" applyAlignment="1" applyProtection="1">
      <alignment horizontal="center" vertical="center" wrapText="1"/>
    </xf>
    <xf numFmtId="2" fontId="35" fillId="9" borderId="24" xfId="0" applyNumberFormat="1" applyFont="1" applyFill="1" applyBorder="1" applyAlignment="1" applyProtection="1">
      <alignment horizontal="center" vertical="center" wrapText="1"/>
    </xf>
    <xf numFmtId="2" fontId="39" fillId="9" borderId="24" xfId="0" applyNumberFormat="1" applyFont="1" applyFill="1" applyBorder="1" applyAlignment="1" applyProtection="1">
      <alignment horizontal="center" vertical="center" wrapText="1"/>
    </xf>
    <xf numFmtId="0" fontId="35" fillId="9" borderId="114" xfId="0" applyFont="1" applyFill="1" applyBorder="1" applyAlignment="1" applyProtection="1">
      <alignment horizontal="center" vertical="center" wrapText="1"/>
    </xf>
    <xf numFmtId="2" fontId="35" fillId="9" borderId="114" xfId="0" applyNumberFormat="1" applyFont="1" applyFill="1" applyBorder="1" applyAlignment="1" applyProtection="1">
      <alignment horizontal="center" vertical="center" wrapText="1"/>
    </xf>
    <xf numFmtId="10" fontId="43" fillId="9" borderId="114" xfId="6" applyNumberFormat="1" applyFont="1" applyFill="1" applyBorder="1" applyAlignment="1" applyProtection="1">
      <alignment horizontal="center" vertical="center" wrapText="1"/>
    </xf>
    <xf numFmtId="0" fontId="39" fillId="9" borderId="10"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39" fillId="0" borderId="34" xfId="0" applyFont="1" applyBorder="1" applyAlignment="1" applyProtection="1">
      <alignment horizontal="center" vertical="center" wrapText="1"/>
      <protection locked="0"/>
    </xf>
    <xf numFmtId="0" fontId="39" fillId="0" borderId="30" xfId="0" applyFont="1" applyBorder="1" applyAlignment="1" applyProtection="1">
      <alignment horizontal="center" vertical="center" wrapText="1"/>
      <protection locked="0"/>
    </xf>
    <xf numFmtId="0" fontId="74" fillId="0" borderId="30" xfId="0" applyFont="1" applyBorder="1" applyAlignment="1">
      <alignment horizontal="center" vertical="center" wrapText="1"/>
    </xf>
    <xf numFmtId="0" fontId="74" fillId="0" borderId="64" xfId="0" applyFont="1" applyBorder="1" applyAlignment="1">
      <alignment horizontal="center" vertical="center" wrapText="1"/>
    </xf>
    <xf numFmtId="0" fontId="39" fillId="10" borderId="16"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39" fillId="10" borderId="85" xfId="0" applyFont="1" applyFill="1" applyBorder="1" applyAlignment="1" applyProtection="1">
      <alignment horizontal="left" vertical="top"/>
      <protection locked="0"/>
    </xf>
    <xf numFmtId="0" fontId="39" fillId="10" borderId="19" xfId="0" applyFont="1" applyFill="1" applyBorder="1" applyAlignment="1" applyProtection="1">
      <alignment horizontal="left" vertical="top"/>
      <protection locked="0"/>
    </xf>
    <xf numFmtId="0" fontId="39" fillId="10" borderId="58" xfId="0"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9" fillId="10" borderId="83"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82" xfId="0"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0" borderId="85" xfId="0" applyFont="1" applyFill="1" applyBorder="1" applyAlignment="1" applyProtection="1">
      <alignment horizontal="right" vertical="top"/>
      <protection locked="0"/>
    </xf>
    <xf numFmtId="0" fontId="33" fillId="12" borderId="19" xfId="0" applyFont="1" applyFill="1" applyBorder="1" applyAlignment="1" applyProtection="1">
      <alignment horizontal="left" vertical="top"/>
      <protection locked="0"/>
    </xf>
    <xf numFmtId="0" fontId="33" fillId="12" borderId="58" xfId="0" applyFont="1" applyFill="1" applyBorder="1" applyAlignment="1" applyProtection="1">
      <alignment horizontal="left" vertical="top"/>
      <protection locked="0"/>
    </xf>
    <xf numFmtId="0" fontId="39" fillId="10" borderId="52" xfId="0" applyFont="1" applyFill="1" applyBorder="1" applyAlignment="1" applyProtection="1">
      <alignment horizontal="right" vertical="top"/>
      <protection locked="0"/>
    </xf>
    <xf numFmtId="0" fontId="62" fillId="10" borderId="85" xfId="0" applyFont="1" applyFill="1" applyBorder="1" applyAlignment="1" applyProtection="1">
      <alignment horizontal="right" vertical="top"/>
      <protection locked="0"/>
    </xf>
    <xf numFmtId="0" fontId="62" fillId="10" borderId="19" xfId="0" applyFont="1" applyFill="1" applyBorder="1" applyAlignment="1" applyProtection="1">
      <alignment horizontal="right" vertical="top"/>
      <protection locked="0"/>
    </xf>
    <xf numFmtId="0" fontId="62" fillId="10" borderId="58" xfId="0" applyFont="1" applyFill="1" applyBorder="1" applyAlignment="1" applyProtection="1">
      <alignment horizontal="right" vertical="top"/>
      <protection locked="0"/>
    </xf>
    <xf numFmtId="9" fontId="33" fillId="12" borderId="16" xfId="6" applyFont="1" applyFill="1" applyBorder="1" applyAlignment="1" applyProtection="1">
      <alignment horizontal="left" vertical="top"/>
      <protection locked="0"/>
    </xf>
    <xf numFmtId="9" fontId="33" fillId="12" borderId="50" xfId="6"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45"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33" fillId="12" borderId="69" xfId="0" applyFont="1" applyFill="1" applyBorder="1" applyAlignment="1" applyProtection="1">
      <alignment horizontal="left" vertical="top"/>
      <protection locked="0"/>
    </xf>
    <xf numFmtId="9" fontId="33" fillId="10" borderId="16" xfId="0" applyNumberFormat="1" applyFont="1" applyFill="1" applyBorder="1" applyAlignment="1" applyProtection="1">
      <alignment horizontal="left" vertical="top" wrapText="1"/>
    </xf>
    <xf numFmtId="9" fontId="33" fillId="10" borderId="50" xfId="0" applyNumberFormat="1" applyFont="1" applyFill="1" applyBorder="1" applyAlignment="1" applyProtection="1">
      <alignment horizontal="left" vertical="top" wrapText="1"/>
    </xf>
    <xf numFmtId="0" fontId="39" fillId="10" borderId="85" xfId="0" applyFont="1" applyFill="1" applyBorder="1" applyAlignment="1" applyProtection="1">
      <alignment horizontal="left" vertical="center" wrapText="1"/>
    </xf>
    <xf numFmtId="0" fontId="39" fillId="10" borderId="19" xfId="0" applyFont="1" applyFill="1" applyBorder="1" applyAlignment="1" applyProtection="1">
      <alignment horizontal="left" vertical="center" wrapText="1"/>
    </xf>
    <xf numFmtId="0" fontId="39" fillId="10" borderId="58" xfId="0" applyFont="1" applyFill="1" applyBorder="1" applyAlignment="1" applyProtection="1">
      <alignment horizontal="left" vertical="center" wrapText="1"/>
    </xf>
    <xf numFmtId="7" fontId="39" fillId="10" borderId="16" xfId="2" applyNumberFormat="1" applyFont="1" applyFill="1" applyBorder="1" applyAlignment="1" applyProtection="1">
      <alignment horizontal="center" vertical="center" wrapText="1"/>
    </xf>
    <xf numFmtId="7" fontId="39" fillId="10" borderId="50" xfId="2" applyNumberFormat="1" applyFont="1" applyFill="1" applyBorder="1" applyAlignment="1" applyProtection="1">
      <alignment horizontal="center" vertical="center" wrapText="1"/>
    </xf>
    <xf numFmtId="0" fontId="39" fillId="10" borderId="83" xfId="0" applyFont="1" applyFill="1" applyBorder="1" applyAlignment="1" applyProtection="1">
      <alignment horizontal="left" vertical="center" wrapText="1"/>
    </xf>
    <xf numFmtId="0" fontId="39" fillId="10" borderId="20" xfId="0" applyFont="1" applyFill="1" applyBorder="1" applyAlignment="1" applyProtection="1">
      <alignment horizontal="left" vertical="center" wrapText="1"/>
    </xf>
    <xf numFmtId="0" fontId="39" fillId="10" borderId="61" xfId="0" applyFont="1" applyFill="1" applyBorder="1" applyAlignment="1" applyProtection="1">
      <alignment horizontal="left" vertical="center" wrapText="1"/>
    </xf>
    <xf numFmtId="0" fontId="39" fillId="10" borderId="52" xfId="0" applyFont="1" applyFill="1" applyBorder="1" applyAlignment="1" applyProtection="1">
      <alignment horizontal="center" vertical="center" wrapText="1"/>
    </xf>
    <xf numFmtId="0" fontId="39" fillId="10" borderId="82" xfId="0" applyFont="1" applyFill="1" applyBorder="1" applyAlignment="1" applyProtection="1">
      <alignment horizontal="center" vertical="center" wrapText="1"/>
    </xf>
    <xf numFmtId="0" fontId="33" fillId="12" borderId="61" xfId="0" applyFont="1" applyFill="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3" fillId="0" borderId="24" xfId="0" applyFont="1" applyBorder="1" applyAlignment="1" applyProtection="1">
      <alignment horizontal="center" vertical="center" textRotation="90" wrapText="1"/>
      <protection locked="0"/>
    </xf>
    <xf numFmtId="0" fontId="33" fillId="0" borderId="38" xfId="0" applyFont="1" applyBorder="1" applyAlignment="1" applyProtection="1">
      <alignment horizontal="center" vertical="center" textRotation="90" wrapText="1"/>
      <protection locked="0"/>
    </xf>
    <xf numFmtId="0" fontId="33" fillId="0" borderId="3" xfId="0" applyFont="1" applyBorder="1" applyAlignment="1" applyProtection="1">
      <alignment horizontal="center" vertical="center" textRotation="90" wrapText="1"/>
      <protection locked="0"/>
    </xf>
    <xf numFmtId="0" fontId="17" fillId="16" borderId="45" xfId="0" applyFont="1" applyFill="1" applyBorder="1" applyAlignment="1" applyProtection="1">
      <alignment horizontal="left" vertical="top" wrapText="1"/>
      <protection locked="0"/>
    </xf>
    <xf numFmtId="0" fontId="17" fillId="16" borderId="21" xfId="0" applyFont="1" applyFill="1" applyBorder="1" applyAlignment="1" applyProtection="1">
      <alignment horizontal="left" vertical="top" wrapText="1"/>
      <protection locked="0"/>
    </xf>
    <xf numFmtId="0" fontId="17" fillId="16" borderId="69" xfId="0" applyFont="1" applyFill="1" applyBorder="1" applyAlignment="1" applyProtection="1">
      <alignment horizontal="left" vertical="top" wrapText="1"/>
      <protection locked="0"/>
    </xf>
    <xf numFmtId="0" fontId="33" fillId="0" borderId="16" xfId="0" applyFont="1" applyBorder="1" applyAlignment="1" applyProtection="1">
      <alignment horizontal="left" vertical="top" wrapText="1"/>
      <protection locked="0"/>
    </xf>
    <xf numFmtId="0" fontId="33" fillId="0" borderId="19" xfId="0" applyFont="1" applyBorder="1" applyAlignment="1" applyProtection="1">
      <alignment horizontal="left" vertical="top" wrapText="1"/>
      <protection locked="0"/>
    </xf>
    <xf numFmtId="0" fontId="33" fillId="0" borderId="58" xfId="0" applyFont="1" applyBorder="1" applyAlignment="1" applyProtection="1">
      <alignment horizontal="left" vertical="top" wrapText="1"/>
      <protection locked="0"/>
    </xf>
    <xf numFmtId="0" fontId="39" fillId="9" borderId="34" xfId="0" applyFont="1" applyFill="1" applyBorder="1" applyAlignment="1" applyProtection="1">
      <alignment horizontal="center" vertical="top"/>
      <protection locked="0"/>
    </xf>
    <xf numFmtId="0" fontId="39" fillId="9" borderId="30" xfId="0" applyFont="1" applyFill="1" applyBorder="1" applyAlignment="1" applyProtection="1">
      <alignment horizontal="center" vertical="top"/>
      <protection locked="0"/>
    </xf>
    <xf numFmtId="0" fontId="39" fillId="9" borderId="64" xfId="0" applyFont="1" applyFill="1" applyBorder="1" applyAlignment="1" applyProtection="1">
      <alignment horizontal="center" vertical="top"/>
      <protection locked="0"/>
    </xf>
    <xf numFmtId="0" fontId="39" fillId="10" borderId="86" xfId="0"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68" xfId="0" applyFont="1" applyFill="1" applyBorder="1" applyAlignment="1" applyProtection="1">
      <alignment horizontal="left" vertical="top"/>
    </xf>
    <xf numFmtId="0" fontId="39" fillId="10" borderId="45" xfId="0" applyFont="1" applyFill="1" applyBorder="1" applyAlignment="1" applyProtection="1">
      <alignment horizontal="left" vertical="top"/>
      <protection locked="0"/>
    </xf>
    <xf numFmtId="0" fontId="39" fillId="0" borderId="16" xfId="0" applyFont="1" applyFill="1" applyBorder="1" applyAlignment="1" applyProtection="1">
      <alignment horizontal="left" vertical="top"/>
      <protection locked="0"/>
    </xf>
    <xf numFmtId="0" fontId="39" fillId="0" borderId="19" xfId="0" applyFont="1" applyFill="1" applyBorder="1" applyAlignment="1" applyProtection="1">
      <alignment horizontal="left" vertical="top"/>
      <protection locked="0"/>
    </xf>
    <xf numFmtId="0" fontId="39" fillId="0" borderId="58" xfId="0" applyFont="1" applyFill="1" applyBorder="1" applyAlignment="1" applyProtection="1">
      <alignment horizontal="left" vertical="top"/>
      <protection locked="0"/>
    </xf>
    <xf numFmtId="0" fontId="33" fillId="0" borderId="16" xfId="0" applyFont="1" applyFill="1" applyBorder="1" applyAlignment="1" applyProtection="1">
      <alignment horizontal="left" vertical="top"/>
      <protection locked="0"/>
    </xf>
    <xf numFmtId="0" fontId="33" fillId="0" borderId="19" xfId="0" applyFont="1" applyFill="1" applyBorder="1" applyAlignment="1" applyProtection="1">
      <alignment horizontal="left" vertical="top"/>
      <protection locked="0"/>
    </xf>
    <xf numFmtId="0" fontId="33" fillId="0" borderId="58" xfId="0" applyFont="1" applyFill="1" applyBorder="1" applyAlignment="1" applyProtection="1">
      <alignment horizontal="left" vertical="top"/>
      <protection locked="0"/>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3" fillId="22" borderId="57" xfId="0" applyFont="1" applyFill="1" applyBorder="1" applyAlignment="1" applyProtection="1">
      <alignment horizontal="center" vertical="center" wrapText="1"/>
    </xf>
    <xf numFmtId="0" fontId="33" fillId="22" borderId="59" xfId="0" applyFont="1" applyFill="1" applyBorder="1" applyAlignment="1" applyProtection="1">
      <alignment horizontal="center" vertical="center" wrapText="1"/>
    </xf>
    <xf numFmtId="0" fontId="33" fillId="22" borderId="63" xfId="0" applyFont="1" applyFill="1" applyBorder="1" applyAlignment="1" applyProtection="1">
      <alignment horizontal="center" vertical="center" wrapText="1"/>
    </xf>
    <xf numFmtId="0" fontId="33" fillId="22" borderId="37" xfId="0" applyFont="1" applyFill="1" applyBorder="1" applyAlignment="1" applyProtection="1">
      <alignment horizontal="center" vertical="center" wrapText="1"/>
    </xf>
    <xf numFmtId="0" fontId="33" fillId="22" borderId="15" xfId="0" applyFont="1" applyFill="1" applyBorder="1" applyAlignment="1" applyProtection="1">
      <alignment horizontal="center" vertical="center" wrapText="1"/>
    </xf>
    <xf numFmtId="0" fontId="33" fillId="22" borderId="67" xfId="0" applyFont="1" applyFill="1" applyBorder="1" applyAlignment="1" applyProtection="1">
      <alignment horizontal="center" vertical="center" wrapText="1"/>
    </xf>
    <xf numFmtId="0" fontId="33" fillId="0" borderId="16"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33" fillId="0" borderId="58" xfId="0" applyFont="1" applyFill="1" applyBorder="1" applyAlignment="1" applyProtection="1">
      <alignment horizontal="left" vertical="top" wrapText="1"/>
      <protection locked="0"/>
    </xf>
    <xf numFmtId="0" fontId="33" fillId="0" borderId="40" xfId="0" applyFont="1" applyFill="1" applyBorder="1" applyAlignment="1" applyProtection="1">
      <alignment horizontal="center" vertical="center" wrapText="1"/>
      <protection locked="0"/>
    </xf>
    <xf numFmtId="0" fontId="33" fillId="0" borderId="3" xfId="0" applyFont="1" applyFill="1" applyBorder="1" applyAlignment="1" applyProtection="1">
      <alignment horizontal="center" vertical="center" wrapText="1"/>
      <protection locked="0"/>
    </xf>
    <xf numFmtId="0" fontId="39" fillId="0" borderId="16" xfId="0" applyFont="1" applyFill="1" applyBorder="1" applyAlignment="1" applyProtection="1">
      <alignment horizontal="right" vertical="top" wrapText="1"/>
      <protection locked="0"/>
    </xf>
    <xf numFmtId="0" fontId="39" fillId="0" borderId="19" xfId="0" applyFont="1" applyFill="1" applyBorder="1" applyAlignment="1" applyProtection="1">
      <alignment horizontal="right" vertical="top" wrapText="1"/>
      <protection locked="0"/>
    </xf>
    <xf numFmtId="0" fontId="39" fillId="0" borderId="58" xfId="0" applyFont="1" applyFill="1" applyBorder="1" applyAlignment="1" applyProtection="1">
      <alignment horizontal="right" vertical="top" wrapText="1"/>
      <protection locked="0"/>
    </xf>
    <xf numFmtId="0" fontId="45" fillId="17" borderId="34" xfId="0" applyFont="1" applyFill="1" applyBorder="1" applyAlignment="1" applyProtection="1">
      <alignment horizontal="center" vertical="top"/>
    </xf>
    <xf numFmtId="0" fontId="45" fillId="17" borderId="30" xfId="0" applyFont="1" applyFill="1" applyBorder="1" applyAlignment="1" applyProtection="1">
      <alignment horizontal="center" vertical="top"/>
    </xf>
    <xf numFmtId="0" fontId="45" fillId="17" borderId="64" xfId="0" applyFont="1" applyFill="1" applyBorder="1" applyAlignment="1" applyProtection="1">
      <alignment horizontal="center" vertical="top"/>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9" fontId="39" fillId="9" borderId="24" xfId="0" applyNumberFormat="1" applyFont="1" applyFill="1" applyBorder="1" applyAlignment="1" applyProtection="1">
      <alignment horizontal="center" vertical="top" wrapText="1"/>
    </xf>
    <xf numFmtId="9" fontId="39" fillId="9" borderId="114" xfId="0" applyNumberFormat="1" applyFont="1" applyFill="1" applyBorder="1" applyAlignment="1" applyProtection="1">
      <alignment horizontal="center" vertical="top" wrapText="1"/>
    </xf>
    <xf numFmtId="0" fontId="17" fillId="16" borderId="16" xfId="0" applyFont="1" applyFill="1" applyBorder="1" applyAlignment="1" applyProtection="1">
      <alignment horizontal="left" vertical="top" wrapText="1"/>
      <protection locked="0"/>
    </xf>
    <xf numFmtId="0" fontId="17" fillId="16" borderId="19" xfId="0" applyFont="1" applyFill="1" applyBorder="1" applyAlignment="1" applyProtection="1">
      <alignment horizontal="left" vertical="top" wrapText="1"/>
      <protection locked="0"/>
    </xf>
    <xf numFmtId="0" fontId="17" fillId="16" borderId="58" xfId="0" applyFont="1" applyFill="1" applyBorder="1" applyAlignment="1" applyProtection="1">
      <alignment horizontal="left" vertical="top" wrapText="1"/>
      <protection locked="0"/>
    </xf>
    <xf numFmtId="0" fontId="39" fillId="0" borderId="34" xfId="0" applyFont="1" applyBorder="1" applyAlignment="1" applyProtection="1">
      <alignment horizontal="center" vertical="center"/>
      <protection locked="0"/>
    </xf>
    <xf numFmtId="0" fontId="39" fillId="0" borderId="30" xfId="0" applyFont="1" applyBorder="1" applyAlignment="1" applyProtection="1">
      <alignment horizontal="center" vertical="center"/>
      <protection locked="0"/>
    </xf>
    <xf numFmtId="0" fontId="74" fillId="0" borderId="30" xfId="0" applyFont="1" applyBorder="1" applyAlignment="1">
      <alignment horizontal="center" vertical="center"/>
    </xf>
    <xf numFmtId="0" fontId="74" fillId="0" borderId="64" xfId="0" applyFont="1" applyBorder="1" applyAlignment="1">
      <alignment horizontal="center" vertical="center"/>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9" fillId="10" borderId="27" xfId="0" applyFont="1" applyFill="1" applyBorder="1" applyAlignment="1" applyProtection="1">
      <alignment horizontal="left" vertical="top"/>
      <protection locked="0"/>
    </xf>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0" fontId="39" fillId="10" borderId="47" xfId="0" applyFont="1" applyFill="1" applyBorder="1" applyAlignment="1" applyProtection="1">
      <alignment horizontal="right" vertical="top"/>
      <protection locked="0"/>
    </xf>
    <xf numFmtId="0" fontId="39" fillId="10" borderId="1" xfId="0" applyFont="1" applyFill="1" applyBorder="1" applyAlignment="1" applyProtection="1">
      <alignment horizontal="right" vertical="top"/>
      <protection locked="0"/>
    </xf>
    <xf numFmtId="0" fontId="39" fillId="10" borderId="19" xfId="0" applyFont="1" applyFill="1" applyBorder="1" applyAlignment="1" applyProtection="1">
      <alignment horizontal="right" vertical="top"/>
      <protection locked="0"/>
    </xf>
    <xf numFmtId="0" fontId="39" fillId="10" borderId="26" xfId="0" applyFont="1" applyFill="1" applyBorder="1" applyAlignment="1" applyProtection="1">
      <alignment horizontal="right" vertical="top"/>
      <protection locked="0"/>
    </xf>
    <xf numFmtId="0" fontId="33" fillId="12" borderId="16" xfId="0" applyFont="1" applyFill="1" applyBorder="1" applyAlignment="1" applyProtection="1">
      <alignment horizontal="left" vertical="top" wrapText="1"/>
      <protection locked="0"/>
    </xf>
    <xf numFmtId="0" fontId="33" fillId="12" borderId="19" xfId="0" applyFont="1" applyFill="1" applyBorder="1" applyAlignment="1" applyProtection="1">
      <alignment horizontal="left" vertical="top" wrapText="1"/>
      <protection locked="0"/>
    </xf>
    <xf numFmtId="0" fontId="33" fillId="12" borderId="58" xfId="0" applyFont="1" applyFill="1" applyBorder="1" applyAlignment="1" applyProtection="1">
      <alignment horizontal="left" vertical="top" wrapText="1"/>
      <protection locked="0"/>
    </xf>
    <xf numFmtId="0" fontId="33" fillId="12" borderId="1"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12" borderId="15" xfId="6" applyFont="1" applyFill="1" applyBorder="1" applyAlignment="1" applyProtection="1">
      <alignment horizontal="left" vertical="top"/>
      <protection locked="0"/>
    </xf>
    <xf numFmtId="9" fontId="33" fillId="12" borderId="66" xfId="6" applyFont="1" applyFill="1" applyBorder="1" applyAlignment="1" applyProtection="1">
      <alignment horizontal="left" vertical="top"/>
      <protection locked="0"/>
    </xf>
    <xf numFmtId="0" fontId="39" fillId="10" borderId="51" xfId="0" applyFont="1" applyFill="1" applyBorder="1" applyAlignment="1" applyProtection="1">
      <alignment horizontal="right" vertical="top"/>
      <protection locked="0"/>
    </xf>
    <xf numFmtId="0" fontId="39" fillId="10" borderId="53" xfId="0" applyFont="1" applyFill="1" applyBorder="1" applyAlignment="1" applyProtection="1">
      <alignment horizontal="right" vertical="top"/>
      <protection locked="0"/>
    </xf>
    <xf numFmtId="0" fontId="33" fillId="0" borderId="34" xfId="0" applyFont="1" applyFill="1" applyBorder="1" applyAlignment="1" applyProtection="1">
      <alignment horizontal="center" vertical="top"/>
      <protection locked="0"/>
    </xf>
    <xf numFmtId="0" fontId="33" fillId="0" borderId="30" xfId="0" applyFont="1" applyFill="1" applyBorder="1" applyAlignment="1" applyProtection="1">
      <alignment horizontal="center" vertical="top"/>
      <protection locked="0"/>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9" fillId="9" borderId="24" xfId="0" applyNumberFormat="1" applyFont="1" applyFill="1" applyBorder="1" applyAlignment="1" applyProtection="1">
      <alignment horizontal="center" vertical="center" wrapText="1"/>
    </xf>
    <xf numFmtId="9" fontId="39" fillId="9" borderId="38" xfId="0" applyNumberFormat="1" applyFont="1" applyFill="1" applyBorder="1" applyAlignment="1" applyProtection="1">
      <alignment horizontal="center" vertical="center" wrapText="1"/>
    </xf>
    <xf numFmtId="0" fontId="17" fillId="16" borderId="3" xfId="0" applyFont="1" applyFill="1" applyBorder="1" applyAlignment="1" applyProtection="1">
      <alignment horizontal="left" vertical="top" wrapText="1"/>
      <protection locked="0"/>
    </xf>
    <xf numFmtId="0" fontId="33" fillId="16" borderId="3" xfId="0" applyFont="1" applyFill="1" applyBorder="1" applyAlignment="1" applyProtection="1">
      <alignment horizontal="left" vertical="top" wrapText="1"/>
      <protection locked="0"/>
    </xf>
    <xf numFmtId="0" fontId="74" fillId="0" borderId="19" xfId="0" applyFont="1" applyBorder="1"/>
    <xf numFmtId="0" fontId="74" fillId="0" borderId="58" xfId="0" applyFont="1" applyBorder="1"/>
    <xf numFmtId="0" fontId="33" fillId="0" borderId="1" xfId="0" applyFont="1" applyBorder="1" applyAlignment="1" applyProtection="1">
      <alignment horizontal="left" vertical="top" wrapText="1"/>
      <protection locked="0"/>
    </xf>
    <xf numFmtId="0" fontId="33" fillId="0" borderId="1" xfId="4" applyFont="1" applyFill="1" applyBorder="1" applyAlignment="1" applyProtection="1">
      <alignment horizontal="left" vertical="top"/>
      <protection locked="0"/>
    </xf>
    <xf numFmtId="0" fontId="33" fillId="0" borderId="40" xfId="0" applyFont="1" applyFill="1" applyBorder="1" applyAlignment="1" applyProtection="1">
      <alignment horizontal="center" vertical="top" wrapText="1"/>
      <protection locked="0"/>
    </xf>
    <xf numFmtId="0" fontId="33" fillId="0" borderId="3" xfId="0" applyFont="1" applyFill="1" applyBorder="1" applyAlignment="1" applyProtection="1">
      <alignment horizontal="center" vertical="top" wrapText="1"/>
      <protection locked="0"/>
    </xf>
    <xf numFmtId="0" fontId="33" fillId="0" borderId="1" xfId="0" applyFont="1" applyFill="1" applyBorder="1" applyAlignment="1" applyProtection="1">
      <alignment horizontal="left" vertical="top" wrapText="1"/>
      <protection locked="0"/>
    </xf>
    <xf numFmtId="0" fontId="74" fillId="0" borderId="30" xfId="0" applyFont="1" applyBorder="1" applyAlignment="1">
      <alignment horizontal="center" vertical="top" wrapText="1"/>
    </xf>
    <xf numFmtId="0" fontId="74" fillId="0" borderId="64" xfId="0" applyFont="1" applyBorder="1" applyAlignment="1">
      <alignment horizontal="center" vertical="top" wrapText="1"/>
    </xf>
    <xf numFmtId="0" fontId="39" fillId="9" borderId="34" xfId="0" applyFont="1" applyFill="1" applyBorder="1" applyAlignment="1" applyProtection="1">
      <alignment horizontal="center" vertical="top" wrapText="1"/>
      <protection locked="0"/>
    </xf>
    <xf numFmtId="0" fontId="33" fillId="12" borderId="45" xfId="0" applyFont="1" applyFill="1" applyBorder="1" applyAlignment="1" applyProtection="1">
      <alignment horizontal="left" vertical="top" wrapText="1"/>
      <protection locked="0"/>
    </xf>
    <xf numFmtId="0" fontId="74" fillId="0" borderId="21" xfId="0" applyFont="1" applyBorder="1" applyAlignment="1">
      <alignment horizontal="left" vertical="top" wrapText="1"/>
    </xf>
    <xf numFmtId="0" fontId="74" fillId="0" borderId="69" xfId="0" applyFont="1" applyBorder="1" applyAlignment="1">
      <alignment horizontal="left" vertical="top" wrapText="1"/>
    </xf>
    <xf numFmtId="0" fontId="33" fillId="12" borderId="57" xfId="0" applyFont="1" applyFill="1" applyBorder="1" applyAlignment="1" applyProtection="1">
      <alignment horizontal="left" vertical="top" wrapText="1"/>
      <protection locked="0"/>
    </xf>
    <xf numFmtId="0" fontId="74" fillId="0" borderId="26" xfId="0" applyFont="1" applyBorder="1" applyAlignment="1">
      <alignment horizontal="left" vertical="top" wrapText="1"/>
    </xf>
    <xf numFmtId="0" fontId="74" fillId="0" borderId="59" xfId="0" applyFont="1" applyBorder="1" applyAlignment="1">
      <alignment horizontal="left" vertical="top" wrapText="1"/>
    </xf>
    <xf numFmtId="0" fontId="33" fillId="12" borderId="1" xfId="0" applyFont="1" applyFill="1" applyBorder="1" applyAlignment="1" applyProtection="1">
      <alignment horizontal="left" vertical="top" wrapText="1"/>
      <protection locked="0"/>
    </xf>
    <xf numFmtId="0" fontId="74" fillId="0" borderId="1" xfId="0" applyFont="1" applyBorder="1" applyAlignment="1">
      <alignment horizontal="left" vertical="top" wrapText="1"/>
    </xf>
    <xf numFmtId="0" fontId="33" fillId="12" borderId="63" xfId="0" applyFont="1" applyFill="1" applyBorder="1" applyAlignment="1" applyProtection="1">
      <alignment horizontal="left" vertical="top" wrapText="1"/>
      <protection locked="0"/>
    </xf>
    <xf numFmtId="0" fontId="74" fillId="0" borderId="0" xfId="0" applyFont="1" applyBorder="1" applyAlignment="1">
      <alignment horizontal="left" vertical="top" wrapText="1"/>
    </xf>
    <xf numFmtId="0" fontId="74" fillId="0" borderId="37" xfId="0" applyFont="1" applyBorder="1" applyAlignment="1">
      <alignment horizontal="left" vertical="top" wrapText="1"/>
    </xf>
    <xf numFmtId="0" fontId="74" fillId="0" borderId="19" xfId="0" applyFont="1" applyBorder="1" applyAlignment="1">
      <alignment horizontal="left" vertical="top" wrapText="1"/>
    </xf>
    <xf numFmtId="0" fontId="74" fillId="0" borderId="58" xfId="0" applyFont="1" applyBorder="1" applyAlignment="1">
      <alignment horizontal="left" vertical="top" wrapText="1"/>
    </xf>
    <xf numFmtId="0" fontId="33" fillId="12" borderId="52" xfId="0" applyFont="1" applyFill="1" applyBorder="1" applyAlignment="1" applyProtection="1">
      <alignment horizontal="left" vertical="top" wrapText="1"/>
      <protection locked="0"/>
    </xf>
    <xf numFmtId="0" fontId="74" fillId="0" borderId="20" xfId="0" applyFont="1" applyBorder="1" applyAlignment="1">
      <alignment horizontal="left" vertical="top" wrapText="1"/>
    </xf>
    <xf numFmtId="0" fontId="74" fillId="0" borderId="82" xfId="0" applyFont="1" applyBorder="1" applyAlignment="1">
      <alignment horizontal="left" vertical="top" wrapText="1"/>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9" fillId="10" borderId="1" xfId="2" applyNumberFormat="1" applyFont="1" applyFill="1" applyBorder="1" applyAlignment="1" applyProtection="1">
      <alignment horizontal="center" vertical="center" wrapText="1"/>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9" fillId="10" borderId="53" xfId="0" applyFont="1" applyFill="1" applyBorder="1" applyAlignment="1" applyProtection="1">
      <alignment horizontal="center" vertical="center" wrapText="1"/>
    </xf>
    <xf numFmtId="0" fontId="36" fillId="0" borderId="34" xfId="0" applyFont="1" applyBorder="1" applyAlignment="1" applyProtection="1">
      <alignment horizontal="center" vertical="center" wrapText="1"/>
      <protection locked="0"/>
    </xf>
    <xf numFmtId="0" fontId="36" fillId="0" borderId="30" xfId="0" applyFont="1" applyBorder="1" applyAlignment="1" applyProtection="1">
      <alignment horizontal="center" vertical="center" wrapText="1"/>
      <protection locked="0"/>
    </xf>
    <xf numFmtId="0" fontId="80" fillId="0" borderId="30" xfId="0" applyFont="1" applyBorder="1" applyAlignment="1">
      <alignment horizontal="center" vertical="center" wrapText="1"/>
    </xf>
    <xf numFmtId="0" fontId="80" fillId="0" borderId="64" xfId="0" applyFont="1" applyBorder="1" applyAlignment="1">
      <alignment horizontal="center" vertical="center" wrapText="1"/>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0" borderId="16" xfId="0" applyFont="1" applyFill="1" applyBorder="1" applyAlignment="1" applyProtection="1">
      <alignment horizontal="left" vertical="top" wrapText="1"/>
      <protection locked="0"/>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36" fillId="0" borderId="16" xfId="0" applyFont="1" applyFill="1" applyBorder="1" applyAlignment="1" applyProtection="1">
      <alignment horizontal="right" vertical="top" wrapText="1"/>
      <protection locked="0"/>
    </xf>
    <xf numFmtId="0" fontId="80" fillId="0" borderId="19" xfId="0" applyFont="1" applyBorder="1"/>
    <xf numFmtId="0" fontId="80" fillId="0" borderId="58" xfId="0" applyFont="1" applyBorder="1"/>
    <xf numFmtId="0" fontId="30" fillId="0" borderId="19" xfId="0" applyFont="1" applyFill="1" applyBorder="1" applyAlignment="1" applyProtection="1">
      <alignment horizontal="left" vertical="top" wrapText="1"/>
      <protection locked="0"/>
    </xf>
    <xf numFmtId="0" fontId="30" fillId="0" borderId="58" xfId="0" applyFont="1" applyFill="1" applyBorder="1" applyAlignment="1" applyProtection="1">
      <alignment horizontal="left" vertical="top" wrapText="1"/>
      <protection locked="0"/>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30" fillId="0" borderId="1" xfId="0" applyFont="1" applyFill="1" applyBorder="1" applyAlignment="1" applyProtection="1">
      <alignment horizontal="left" vertical="top" wrapText="1"/>
      <protection locked="0"/>
    </xf>
    <xf numFmtId="0" fontId="30" fillId="0" borderId="57" xfId="0" applyFont="1" applyFill="1" applyBorder="1" applyAlignment="1" applyProtection="1">
      <alignment horizontal="center" vertical="center" wrapText="1"/>
    </xf>
    <xf numFmtId="0" fontId="30" fillId="0" borderId="59" xfId="0" applyFont="1" applyFill="1" applyBorder="1" applyAlignment="1" applyProtection="1">
      <alignment horizontal="center" vertical="center" wrapText="1"/>
    </xf>
    <xf numFmtId="0" fontId="30" fillId="0" borderId="63"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xf>
    <xf numFmtId="0" fontId="30" fillId="0" borderId="67" xfId="0" applyFont="1" applyFill="1" applyBorder="1" applyAlignment="1" applyProtection="1">
      <alignment horizontal="center" vertical="center" wrapText="1"/>
    </xf>
    <xf numFmtId="0" fontId="30" fillId="0" borderId="40" xfId="0" applyFont="1" applyFill="1" applyBorder="1" applyAlignment="1" applyProtection="1">
      <alignment horizontal="center" vertical="center" textRotation="90" wrapText="1"/>
      <protection locked="0"/>
    </xf>
    <xf numFmtId="0" fontId="30" fillId="0" borderId="3" xfId="0" applyFont="1" applyFill="1" applyBorder="1" applyAlignment="1" applyProtection="1">
      <alignment horizontal="center" vertical="center" textRotation="90" wrapText="1"/>
      <protection locked="0"/>
    </xf>
    <xf numFmtId="0" fontId="30" fillId="16" borderId="1" xfId="0" applyFont="1" applyFill="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0" fontId="28" fillId="17" borderId="34" xfId="0" applyFont="1" applyFill="1" applyBorder="1" applyAlignment="1" applyProtection="1">
      <alignment horizontal="center" vertical="top" wrapText="1"/>
    </xf>
    <xf numFmtId="0" fontId="28" fillId="17" borderId="64" xfId="0" applyFont="1" applyFill="1" applyBorder="1" applyAlignment="1" applyProtection="1">
      <alignment horizontal="center" vertical="top" wrapText="1"/>
    </xf>
    <xf numFmtId="9" fontId="36" fillId="9" borderId="10" xfId="0" applyNumberFormat="1" applyFont="1" applyFill="1" applyBorder="1" applyAlignment="1" applyProtection="1">
      <alignment horizontal="center" vertical="center" wrapText="1"/>
    </xf>
    <xf numFmtId="9" fontId="36" fillId="9" borderId="22"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0" fontId="36" fillId="9" borderId="10" xfId="0" applyFont="1" applyFill="1" applyBorder="1" applyAlignment="1" applyProtection="1">
      <alignment horizontal="center" vertical="center" wrapText="1"/>
    </xf>
    <xf numFmtId="0" fontId="36" fillId="9" borderId="22" xfId="0" applyFont="1" applyFill="1" applyBorder="1" applyAlignment="1" applyProtection="1">
      <alignment horizontal="center" vertical="center" wrapText="1"/>
    </xf>
    <xf numFmtId="0" fontId="36" fillId="0" borderId="51" xfId="0" applyFont="1" applyFill="1" applyBorder="1" applyAlignment="1" applyProtection="1">
      <alignment horizontal="left" vertical="center" wrapText="1"/>
    </xf>
    <xf numFmtId="0" fontId="36" fillId="0" borderId="53" xfId="0" applyFont="1" applyFill="1" applyBorder="1" applyAlignment="1" applyProtection="1">
      <alignment horizontal="left" vertical="center" wrapText="1"/>
    </xf>
    <xf numFmtId="0" fontId="36" fillId="0" borderId="53" xfId="0" applyFont="1" applyFill="1" applyBorder="1" applyAlignment="1" applyProtection="1">
      <alignment horizontal="center" vertical="center" wrapText="1"/>
    </xf>
    <xf numFmtId="0" fontId="36" fillId="0" borderId="54" xfId="0" applyFont="1" applyFill="1" applyBorder="1" applyAlignment="1" applyProtection="1">
      <alignment horizontal="center" vertical="center" wrapText="1"/>
    </xf>
    <xf numFmtId="0" fontId="36" fillId="0" borderId="83" xfId="0" applyFont="1" applyFill="1" applyBorder="1" applyAlignment="1" applyProtection="1">
      <alignment horizontal="right" vertical="top"/>
      <protection locked="0"/>
    </xf>
    <xf numFmtId="0" fontId="36" fillId="0" borderId="61" xfId="0" applyFont="1" applyFill="1" applyBorder="1" applyAlignment="1" applyProtection="1">
      <alignment horizontal="right" vertical="top"/>
      <protection locked="0"/>
    </xf>
    <xf numFmtId="0" fontId="30" fillId="12" borderId="52" xfId="0" applyFont="1" applyFill="1" applyBorder="1" applyAlignment="1" applyProtection="1">
      <alignment horizontal="left" vertical="top"/>
      <protection locked="0"/>
    </xf>
    <xf numFmtId="0" fontId="30" fillId="12" borderId="20" xfId="0" applyFont="1" applyFill="1" applyBorder="1" applyAlignment="1" applyProtection="1">
      <alignment horizontal="left" vertical="top"/>
      <protection locked="0"/>
    </xf>
    <xf numFmtId="0" fontId="30" fillId="0" borderId="34" xfId="0" applyFont="1" applyFill="1" applyBorder="1" applyAlignment="1" applyProtection="1">
      <alignment horizontal="center" vertical="top"/>
      <protection locked="0"/>
    </xf>
    <xf numFmtId="0" fontId="30" fillId="0" borderId="30" xfId="0" applyFont="1" applyFill="1" applyBorder="1" applyAlignment="1" applyProtection="1">
      <alignment horizontal="center" vertical="top"/>
      <protection locked="0"/>
    </xf>
    <xf numFmtId="0" fontId="36" fillId="10" borderId="35" xfId="0" applyFont="1" applyFill="1" applyBorder="1" applyAlignment="1" applyProtection="1">
      <alignment horizontal="left" vertical="center" wrapText="1"/>
    </xf>
    <xf numFmtId="0" fontId="0" fillId="10" borderId="4" xfId="0" applyFill="1" applyBorder="1" applyAlignment="1">
      <alignment wrapText="1"/>
    </xf>
    <xf numFmtId="0" fontId="0" fillId="10" borderId="62" xfId="0" applyFill="1" applyBorder="1" applyAlignment="1">
      <alignment wrapText="1"/>
    </xf>
    <xf numFmtId="0" fontId="0" fillId="0" borderId="22" xfId="0" applyBorder="1" applyAlignment="1">
      <alignment horizontal="center" vertical="center" wrapText="1"/>
    </xf>
    <xf numFmtId="2" fontId="36" fillId="9" borderId="10" xfId="0" applyNumberFormat="1" applyFont="1" applyFill="1" applyBorder="1" applyAlignment="1" applyProtection="1">
      <alignment horizontal="center" vertical="center" wrapText="1"/>
    </xf>
    <xf numFmtId="2" fontId="36" fillId="9" borderId="22" xfId="0" applyNumberFormat="1" applyFont="1" applyFill="1" applyBorder="1" applyAlignment="1" applyProtection="1">
      <alignment horizontal="center" vertical="center" wrapText="1"/>
    </xf>
    <xf numFmtId="9" fontId="36" fillId="9" borderId="10" xfId="6" applyFont="1" applyFill="1" applyBorder="1" applyAlignment="1" applyProtection="1">
      <alignment horizontal="center" vertical="center" wrapText="1"/>
    </xf>
    <xf numFmtId="9" fontId="36" fillId="9" borderId="35" xfId="0" applyNumberFormat="1" applyFont="1" applyFill="1" applyBorder="1" applyAlignment="1" applyProtection="1">
      <alignment horizontal="center" vertical="center" wrapText="1"/>
    </xf>
    <xf numFmtId="9" fontId="36" fillId="9" borderId="4" xfId="0" applyNumberFormat="1" applyFont="1" applyFill="1" applyBorder="1" applyAlignment="1" applyProtection="1">
      <alignment horizontal="center" vertical="center" wrapText="1"/>
    </xf>
    <xf numFmtId="9" fontId="36" fillId="9" borderId="62" xfId="0" applyNumberFormat="1" applyFont="1" applyFill="1" applyBorder="1" applyAlignment="1" applyProtection="1">
      <alignment horizontal="center" vertical="center" wrapText="1"/>
    </xf>
    <xf numFmtId="9" fontId="36" fillId="9" borderId="7" xfId="0" applyNumberFormat="1" applyFont="1" applyFill="1" applyBorder="1" applyAlignment="1" applyProtection="1">
      <alignment horizontal="center" vertical="center" wrapText="1"/>
    </xf>
    <xf numFmtId="9" fontId="36" fillId="9" borderId="0" xfId="0" applyNumberFormat="1" applyFont="1" applyFill="1" applyBorder="1" applyAlignment="1" applyProtection="1">
      <alignment horizontal="center" vertical="center" wrapText="1"/>
    </xf>
    <xf numFmtId="9" fontId="36" fillId="9" borderId="13" xfId="0" applyNumberFormat="1" applyFont="1" applyFill="1" applyBorder="1" applyAlignment="1" applyProtection="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0" fontId="36" fillId="0" borderId="85" xfId="0" applyFont="1" applyFill="1" applyBorder="1" applyAlignment="1" applyProtection="1">
      <alignment horizontal="right" vertical="top"/>
      <protection locked="0"/>
    </xf>
    <xf numFmtId="0" fontId="36" fillId="0" borderId="19" xfId="0" applyFont="1" applyFill="1" applyBorder="1" applyAlignment="1" applyProtection="1">
      <alignment horizontal="right" vertical="top"/>
      <protection locked="0"/>
    </xf>
    <xf numFmtId="0" fontId="36" fillId="0" borderId="47" xfId="0" applyFont="1" applyFill="1" applyBorder="1" applyAlignment="1" applyProtection="1">
      <alignment horizontal="left" vertical="center" wrapText="1"/>
    </xf>
    <xf numFmtId="0" fontId="36" fillId="0" borderId="1" xfId="0" applyFont="1" applyFill="1" applyBorder="1" applyAlignment="1" applyProtection="1">
      <alignment horizontal="left" vertical="center" wrapText="1"/>
    </xf>
    <xf numFmtId="7" fontId="36" fillId="0" borderId="1" xfId="2" applyNumberFormat="1" applyFont="1" applyFill="1" applyBorder="1" applyAlignment="1" applyProtection="1">
      <alignment horizontal="center" vertical="center" wrapText="1"/>
    </xf>
    <xf numFmtId="7" fontId="36" fillId="0" borderId="6" xfId="2" applyNumberFormat="1" applyFont="1" applyFill="1" applyBorder="1" applyAlignment="1" applyProtection="1">
      <alignment horizontal="center" vertical="center" wrapText="1"/>
    </xf>
    <xf numFmtId="0" fontId="36" fillId="0" borderId="58" xfId="0" applyFont="1" applyFill="1" applyBorder="1" applyAlignment="1" applyProtection="1">
      <alignment horizontal="right" vertical="top"/>
      <protection locked="0"/>
    </xf>
    <xf numFmtId="0" fontId="30" fillId="12" borderId="16" xfId="0" applyFont="1" applyFill="1" applyBorder="1" applyAlignment="1" applyProtection="1">
      <alignment horizontal="left" vertical="top"/>
      <protection locked="0"/>
    </xf>
    <xf numFmtId="0" fontId="30" fillId="12" borderId="19" xfId="0" applyFont="1" applyFill="1" applyBorder="1" applyAlignment="1" applyProtection="1">
      <alignment horizontal="left" vertical="top"/>
      <protection locked="0"/>
    </xf>
    <xf numFmtId="0" fontId="36" fillId="0" borderId="49" xfId="0" applyFont="1" applyFill="1" applyBorder="1" applyAlignment="1" applyProtection="1">
      <alignment horizontal="right" vertical="top"/>
      <protection locked="0"/>
    </xf>
    <xf numFmtId="0" fontId="36" fillId="0" borderId="26" xfId="0" applyFont="1" applyFill="1" applyBorder="1" applyAlignment="1" applyProtection="1">
      <alignment horizontal="right" vertical="top"/>
      <protection locked="0"/>
    </xf>
    <xf numFmtId="0" fontId="81" fillId="0" borderId="47" xfId="0" applyFont="1" applyFill="1" applyBorder="1" applyAlignment="1" applyProtection="1">
      <alignment horizontal="right" vertical="top"/>
      <protection locked="0"/>
    </xf>
    <xf numFmtId="0" fontId="81" fillId="0" borderId="1" xfId="0" applyFont="1" applyFill="1" applyBorder="1" applyAlignment="1" applyProtection="1">
      <alignment horizontal="right" vertical="top"/>
      <protection locked="0"/>
    </xf>
    <xf numFmtId="0" fontId="36" fillId="0" borderId="86" xfId="0" applyFont="1" applyFill="1" applyBorder="1" applyAlignment="1" applyProtection="1">
      <alignment horizontal="left" vertical="top"/>
      <protection locked="0"/>
    </xf>
    <xf numFmtId="0" fontId="36" fillId="0" borderId="69" xfId="0" applyFont="1" applyFill="1" applyBorder="1" applyAlignment="1" applyProtection="1">
      <alignment horizontal="left" vertical="top"/>
      <protection locked="0"/>
    </xf>
    <xf numFmtId="0" fontId="30" fillId="12" borderId="45" xfId="0" applyFont="1" applyFill="1" applyBorder="1" applyAlignment="1" applyProtection="1">
      <alignment horizontal="left" vertical="top"/>
      <protection locked="0"/>
    </xf>
    <xf numFmtId="0" fontId="30" fillId="12" borderId="21" xfId="0" applyFont="1" applyFill="1" applyBorder="1" applyAlignment="1" applyProtection="1">
      <alignment horizontal="left" vertical="top"/>
      <protection locked="0"/>
    </xf>
    <xf numFmtId="0" fontId="36" fillId="0" borderId="21" xfId="0" applyFont="1" applyFill="1" applyBorder="1" applyAlignment="1" applyProtection="1">
      <alignment horizontal="left" vertical="top"/>
      <protection locked="0"/>
    </xf>
    <xf numFmtId="0" fontId="36" fillId="0" borderId="47" xfId="0" applyFont="1" applyFill="1" applyBorder="1" applyAlignment="1" applyProtection="1">
      <alignment horizontal="left" vertical="top"/>
      <protection locked="0"/>
    </xf>
    <xf numFmtId="0" fontId="36" fillId="0" borderId="1" xfId="0" applyFont="1" applyFill="1" applyBorder="1" applyAlignment="1" applyProtection="1">
      <alignment horizontal="left" vertical="top"/>
      <protection locked="0"/>
    </xf>
    <xf numFmtId="0" fontId="30" fillId="12" borderId="50" xfId="0" applyFont="1" applyFill="1" applyBorder="1" applyAlignment="1" applyProtection="1">
      <alignment horizontal="left" vertical="top"/>
      <protection locked="0"/>
    </xf>
    <xf numFmtId="0" fontId="36" fillId="0" borderId="20" xfId="0" applyFont="1" applyFill="1" applyBorder="1" applyAlignment="1" applyProtection="1">
      <alignment horizontal="right" vertical="top"/>
      <protection locked="0"/>
    </xf>
    <xf numFmtId="14" fontId="30" fillId="12" borderId="16" xfId="0" applyNumberFormat="1" applyFont="1" applyFill="1" applyBorder="1" applyAlignment="1" applyProtection="1">
      <alignment horizontal="left" vertical="top"/>
      <protection locked="0"/>
    </xf>
    <xf numFmtId="14" fontId="30" fillId="12" borderId="50" xfId="0" applyNumberFormat="1" applyFont="1" applyFill="1" applyBorder="1" applyAlignment="1" applyProtection="1">
      <alignment horizontal="left" vertical="top"/>
      <protection locked="0"/>
    </xf>
    <xf numFmtId="0" fontId="36" fillId="9" borderId="35" xfId="0" applyFont="1" applyFill="1" applyBorder="1" applyAlignment="1" applyProtection="1">
      <alignment horizontal="center" vertical="top" wrapText="1"/>
      <protection locked="0"/>
    </xf>
    <xf numFmtId="0" fontId="0" fillId="0" borderId="4" xfId="0" applyBorder="1" applyAlignment="1">
      <alignment horizontal="center" vertical="top" wrapText="1"/>
    </xf>
    <xf numFmtId="0" fontId="0" fillId="0" borderId="62" xfId="0" applyBorder="1" applyAlignment="1">
      <alignment horizontal="center" vertical="top" wrapText="1"/>
    </xf>
    <xf numFmtId="0" fontId="36" fillId="0" borderId="19" xfId="0" applyFont="1" applyFill="1" applyBorder="1" applyAlignment="1" applyProtection="1">
      <alignment horizontal="left" vertical="top"/>
      <protection locked="0"/>
    </xf>
    <xf numFmtId="9" fontId="39" fillId="9" borderId="10" xfId="0" applyNumberFormat="1" applyFont="1" applyFill="1" applyBorder="1" applyAlignment="1" applyProtection="1">
      <alignment horizontal="center" vertical="center" wrapText="1"/>
    </xf>
    <xf numFmtId="0" fontId="39" fillId="10" borderId="119"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3" fillId="12" borderId="119"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0" fontId="39" fillId="10" borderId="95"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14" fontId="33" fillId="12" borderId="19" xfId="0" applyNumberFormat="1" applyFont="1" applyFill="1" applyBorder="1" applyAlignment="1" applyProtection="1">
      <alignment horizontal="left" vertical="top"/>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9" fillId="0" borderId="0" xfId="0" applyFont="1" applyFill="1" applyBorder="1" applyAlignment="1" applyProtection="1">
      <alignment horizontal="left" vertical="top" wrapText="1"/>
      <protection locked="0"/>
    </xf>
    <xf numFmtId="9" fontId="33" fillId="10" borderId="26" xfId="0" applyNumberFormat="1" applyFont="1" applyFill="1" applyBorder="1" applyAlignment="1" applyProtection="1">
      <alignment horizontal="left" vertical="top" wrapText="1"/>
    </xf>
    <xf numFmtId="9" fontId="33" fillId="12" borderId="19" xfId="6" applyFont="1" applyFill="1" applyBorder="1" applyAlignment="1" applyProtection="1">
      <alignment horizontal="left" vertical="top"/>
      <protection locked="0"/>
    </xf>
    <xf numFmtId="0" fontId="39" fillId="0" borderId="0" xfId="0" applyFont="1" applyFill="1" applyBorder="1" applyAlignment="1" applyProtection="1">
      <alignment horizontal="left" vertical="top"/>
      <protection locked="0"/>
    </xf>
    <xf numFmtId="0" fontId="45" fillId="0" borderId="0" xfId="0" applyFont="1" applyFill="1" applyBorder="1" applyAlignment="1" applyProtection="1">
      <alignment horizontal="left" vertical="top"/>
      <protection locked="0"/>
    </xf>
    <xf numFmtId="0" fontId="39" fillId="10" borderId="20" xfId="0" applyFont="1" applyFill="1" applyBorder="1" applyAlignment="1" applyProtection="1">
      <alignment horizontal="right" vertical="top"/>
      <protection locked="0"/>
    </xf>
    <xf numFmtId="0" fontId="33" fillId="0" borderId="20"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1" fontId="41" fillId="0" borderId="0" xfId="0" applyNumberFormat="1" applyFont="1" applyFill="1" applyBorder="1" applyAlignment="1" applyProtection="1">
      <alignment horizontal="left" vertical="top" wrapText="1"/>
      <protection locked="0"/>
    </xf>
    <xf numFmtId="0" fontId="33" fillId="0" borderId="3" xfId="0" applyFont="1" applyBorder="1" applyAlignment="1" applyProtection="1">
      <alignment horizontal="left" vertical="top" wrapText="1"/>
      <protection locked="0"/>
    </xf>
    <xf numFmtId="0" fontId="45" fillId="17" borderId="97" xfId="0" applyFont="1" applyFill="1" applyBorder="1" applyAlignment="1" applyProtection="1">
      <alignment horizontal="center" vertical="top"/>
    </xf>
    <xf numFmtId="0" fontId="45" fillId="17" borderId="105" xfId="0" applyFont="1" applyFill="1" applyBorder="1" applyAlignment="1" applyProtection="1">
      <alignment horizontal="center" vertical="top"/>
    </xf>
    <xf numFmtId="0" fontId="45" fillId="17" borderId="103" xfId="0" applyFont="1" applyFill="1" applyBorder="1" applyAlignment="1" applyProtection="1">
      <alignment horizontal="center" vertical="top"/>
    </xf>
    <xf numFmtId="9" fontId="39" fillId="9" borderId="35" xfId="0" applyNumberFormat="1" applyFont="1" applyFill="1" applyBorder="1" applyAlignment="1" applyProtection="1">
      <alignment horizontal="center" vertical="center" wrapText="1"/>
    </xf>
    <xf numFmtId="9" fontId="39" fillId="9" borderId="4" xfId="0" applyNumberFormat="1" applyFont="1" applyFill="1" applyBorder="1" applyAlignment="1" applyProtection="1">
      <alignment horizontal="center" vertical="center" wrapText="1"/>
    </xf>
    <xf numFmtId="9" fontId="39" fillId="9" borderId="62" xfId="0" applyNumberFormat="1" applyFont="1" applyFill="1" applyBorder="1" applyAlignment="1" applyProtection="1">
      <alignment horizontal="center" vertical="center" wrapText="1"/>
    </xf>
    <xf numFmtId="9" fontId="39" fillId="9" borderId="31" xfId="0" applyNumberFormat="1" applyFont="1" applyFill="1" applyBorder="1" applyAlignment="1" applyProtection="1">
      <alignment horizontal="center" vertical="center" wrapText="1"/>
    </xf>
    <xf numFmtId="9" fontId="39" fillId="9" borderId="23" xfId="0" applyNumberFormat="1" applyFont="1" applyFill="1" applyBorder="1" applyAlignment="1" applyProtection="1">
      <alignment horizontal="center" vertical="center" wrapText="1"/>
    </xf>
    <xf numFmtId="9" fontId="39" fillId="9" borderId="32" xfId="0" applyNumberFormat="1"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center" wrapText="1"/>
    </xf>
    <xf numFmtId="2" fontId="39" fillId="9" borderId="12" xfId="0" applyNumberFormat="1" applyFont="1" applyFill="1" applyBorder="1" applyAlignment="1" applyProtection="1">
      <alignment horizontal="center" vertical="center" wrapText="1"/>
    </xf>
    <xf numFmtId="9" fontId="39" fillId="16" borderId="10" xfId="6" applyFont="1" applyFill="1" applyBorder="1" applyAlignment="1" applyProtection="1">
      <alignment horizontal="center" vertical="center" wrapText="1"/>
    </xf>
    <xf numFmtId="9" fontId="39" fillId="16" borderId="12" xfId="6" applyFont="1" applyFill="1" applyBorder="1" applyAlignment="1" applyProtection="1">
      <alignment horizontal="center" vertical="center" wrapText="1"/>
    </xf>
    <xf numFmtId="9" fontId="39" fillId="9" borderId="12" xfId="0" applyNumberFormat="1" applyFont="1" applyFill="1" applyBorder="1" applyAlignment="1" applyProtection="1">
      <alignment horizontal="center" vertical="center" wrapText="1"/>
    </xf>
    <xf numFmtId="9" fontId="39" fillId="9" borderId="114" xfId="0" applyNumberFormat="1" applyFont="1" applyFill="1" applyBorder="1" applyAlignment="1" applyProtection="1">
      <alignment horizontal="center" vertical="center" wrapText="1"/>
    </xf>
    <xf numFmtId="0" fontId="39" fillId="9" borderId="35" xfId="0" applyFont="1" applyFill="1" applyBorder="1" applyAlignment="1" applyProtection="1">
      <alignment horizontal="center" vertical="center" wrapText="1"/>
    </xf>
    <xf numFmtId="0" fontId="0" fillId="0" borderId="116" xfId="0" applyBorder="1" applyAlignment="1">
      <alignment horizontal="center" vertical="center" wrapText="1"/>
    </xf>
    <xf numFmtId="0" fontId="39" fillId="9" borderId="106" xfId="0" applyFont="1" applyFill="1" applyBorder="1" applyAlignment="1" applyProtection="1">
      <alignment horizontal="center" vertical="center" wrapText="1"/>
    </xf>
    <xf numFmtId="0" fontId="0" fillId="0" borderId="121" xfId="0" applyBorder="1" applyAlignment="1">
      <alignment horizontal="center" vertical="center" wrapText="1"/>
    </xf>
    <xf numFmtId="0" fontId="33" fillId="16" borderId="16" xfId="0" applyFont="1" applyFill="1" applyBorder="1" applyAlignment="1" applyProtection="1">
      <alignment horizontal="left" vertical="top" wrapText="1"/>
      <protection locked="0"/>
    </xf>
    <xf numFmtId="0" fontId="33" fillId="16" borderId="19" xfId="0" applyFont="1" applyFill="1" applyBorder="1" applyAlignment="1" applyProtection="1">
      <alignment horizontal="left" vertical="top" wrapText="1"/>
      <protection locked="0"/>
    </xf>
    <xf numFmtId="0" fontId="33" fillId="16" borderId="58" xfId="0" applyFont="1" applyFill="1" applyBorder="1" applyAlignment="1" applyProtection="1">
      <alignment horizontal="left" vertical="top" wrapText="1"/>
      <protection locked="0"/>
    </xf>
    <xf numFmtId="0" fontId="33" fillId="0" borderId="40" xfId="0" applyFont="1" applyBorder="1" applyAlignment="1" applyProtection="1">
      <alignment horizontal="center" vertical="center" textRotation="90" wrapText="1"/>
      <protection locked="0"/>
    </xf>
    <xf numFmtId="0" fontId="41" fillId="10" borderId="0" xfId="0" applyFont="1" applyFill="1" applyBorder="1" applyAlignment="1" applyProtection="1">
      <alignment horizontal="left" vertical="top"/>
      <protection locked="0"/>
    </xf>
    <xf numFmtId="0" fontId="45" fillId="10" borderId="0" xfId="0" applyFont="1" applyFill="1" applyBorder="1" applyAlignment="1" applyProtection="1">
      <alignment horizontal="left" vertical="top"/>
      <protection locked="0"/>
    </xf>
    <xf numFmtId="0" fontId="32" fillId="0" borderId="0" xfId="0" applyFont="1" applyFill="1" applyBorder="1" applyAlignment="1" applyProtection="1">
      <alignment horizontal="left" vertical="top"/>
      <protection locked="0"/>
    </xf>
    <xf numFmtId="0" fontId="31" fillId="10" borderId="63" xfId="0" applyFont="1" applyFill="1" applyBorder="1" applyAlignment="1" applyProtection="1">
      <alignment horizontal="center"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9" fillId="0" borderId="40" xfId="0" applyFont="1" applyFill="1" applyBorder="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2" fillId="3" borderId="1" xfId="0" applyFont="1" applyFill="1" applyBorder="1" applyAlignment="1">
      <alignment horizontal="center" vertical="top"/>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3" xfId="0" applyFont="1" applyFill="1" applyBorder="1" applyAlignment="1" applyProtection="1">
      <alignment horizontal="center" vertical="center" wrapText="1"/>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30" fillId="0" borderId="1" xfId="0" applyFont="1" applyBorder="1" applyAlignment="1" applyProtection="1">
      <alignment horizontal="left" vertical="top" wrapText="1"/>
      <protection locked="0"/>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3" fillId="12" borderId="15" xfId="0" applyFont="1" applyFill="1" applyBorder="1" applyAlignment="1" applyProtection="1">
      <alignment horizontal="left" vertical="top"/>
      <protection locked="0"/>
    </xf>
    <xf numFmtId="0" fontId="33" fillId="12" borderId="67"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0" fillId="0" borderId="3" xfId="0" applyFont="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0" fillId="0" borderId="19" xfId="0" applyBorder="1"/>
    <xf numFmtId="0" fontId="0" fillId="0" borderId="58" xfId="0" applyBorder="1"/>
    <xf numFmtId="0" fontId="30" fillId="0" borderId="16" xfId="0" applyFont="1" applyBorder="1" applyAlignment="1" applyProtection="1">
      <alignment horizontal="left" vertical="top"/>
      <protection locked="0"/>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0" borderId="44" xfId="0" applyFont="1" applyFill="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2" fillId="10" borderId="52" xfId="0" applyFont="1" applyFill="1" applyBorder="1" applyAlignment="1" applyProtection="1">
      <alignment horizontal="center" vertical="center" wrapText="1"/>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4"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0" fontId="33" fillId="12" borderId="40" xfId="0" applyFont="1" applyFill="1" applyBorder="1" applyAlignment="1" applyProtection="1">
      <alignment horizontal="left" vertical="top"/>
      <protection locked="0"/>
    </xf>
    <xf numFmtId="0" fontId="33" fillId="12" borderId="57"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3" fillId="12" borderId="3"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3" fillId="0" borderId="52" xfId="0" applyFont="1" applyFill="1" applyBorder="1" applyAlignment="1" applyProtection="1">
      <alignment horizontal="center" vertical="top"/>
      <protection locked="0"/>
    </xf>
    <xf numFmtId="0" fontId="39" fillId="10" borderId="35" xfId="0" applyFont="1" applyFill="1" applyBorder="1" applyAlignment="1" applyProtection="1">
      <alignment horizontal="left" vertical="top"/>
      <protection locked="0"/>
    </xf>
    <xf numFmtId="9" fontId="33" fillId="12" borderId="50" xfId="5"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96" xfId="0" applyFont="1" applyFill="1" applyBorder="1" applyAlignment="1" applyProtection="1">
      <alignment horizontal="center" vertical="top"/>
      <protection locked="0"/>
    </xf>
    <xf numFmtId="0" fontId="36" fillId="10" borderId="48" xfId="0" applyFont="1" applyFill="1" applyBorder="1" applyAlignment="1" applyProtection="1">
      <alignment horizontal="left" vertical="top"/>
      <protection locked="0"/>
    </xf>
    <xf numFmtId="0" fontId="36" fillId="10" borderId="3" xfId="0" applyFont="1" applyFill="1" applyBorder="1" applyAlignment="1" applyProtection="1">
      <alignment horizontal="left" vertical="top"/>
      <protection locked="0"/>
    </xf>
    <xf numFmtId="0" fontId="36" fillId="10" borderId="65" xfId="0" applyFont="1" applyFill="1" applyBorder="1" applyAlignment="1" applyProtection="1">
      <alignment horizontal="left" vertical="top"/>
      <protection locked="0"/>
    </xf>
    <xf numFmtId="0" fontId="36" fillId="10" borderId="67" xfId="0" applyFont="1" applyFill="1" applyBorder="1" applyAlignment="1" applyProtection="1">
      <alignment horizontal="left" vertical="top"/>
      <protection locked="0"/>
    </xf>
    <xf numFmtId="0" fontId="36" fillId="10" borderId="47" xfId="0" applyFont="1" applyFill="1" applyBorder="1" applyAlignment="1" applyProtection="1">
      <alignment horizontal="left" vertical="top"/>
      <protection locked="0"/>
    </xf>
    <xf numFmtId="0" fontId="36" fillId="10" borderId="1" xfId="0" applyFont="1" applyFill="1" applyBorder="1" applyAlignment="1" applyProtection="1">
      <alignment horizontal="left" vertical="top"/>
      <protection locked="0"/>
    </xf>
    <xf numFmtId="0" fontId="36" fillId="10" borderId="16" xfId="0" applyFont="1" applyFill="1" applyBorder="1" applyAlignment="1" applyProtection="1">
      <alignment horizontal="right" vertical="top"/>
      <protection locked="0"/>
    </xf>
    <xf numFmtId="0" fontId="36" fillId="10" borderId="58" xfId="0" applyFont="1" applyFill="1" applyBorder="1" applyAlignment="1" applyProtection="1">
      <alignment horizontal="right" vertical="top"/>
      <protection locked="0"/>
    </xf>
    <xf numFmtId="14" fontId="30" fillId="12" borderId="19" xfId="0" applyNumberFormat="1" applyFont="1" applyFill="1" applyBorder="1" applyAlignment="1" applyProtection="1">
      <alignment horizontal="left" vertical="top"/>
      <protection locked="0"/>
    </xf>
    <xf numFmtId="0" fontId="81" fillId="10" borderId="47" xfId="0" applyFont="1" applyFill="1" applyBorder="1" applyAlignment="1" applyProtection="1">
      <alignment horizontal="right" vertical="top"/>
      <protection locked="0"/>
    </xf>
    <xf numFmtId="0" fontId="81" fillId="10" borderId="1" xfId="0" applyFont="1" applyFill="1" applyBorder="1" applyAlignment="1" applyProtection="1">
      <alignment horizontal="right" vertical="top"/>
      <protection locked="0"/>
    </xf>
    <xf numFmtId="9" fontId="30" fillId="10" borderId="57" xfId="0" applyNumberFormat="1" applyFont="1" applyFill="1" applyBorder="1" applyAlignment="1" applyProtection="1">
      <alignment horizontal="left" vertical="top" wrapText="1"/>
    </xf>
    <xf numFmtId="9" fontId="30" fillId="10" borderId="26" xfId="0" applyNumberFormat="1" applyFont="1" applyFill="1" applyBorder="1" applyAlignment="1" applyProtection="1">
      <alignment horizontal="left" vertical="top" wrapText="1"/>
    </xf>
    <xf numFmtId="0" fontId="36" fillId="10" borderId="52" xfId="0" applyFont="1" applyFill="1" applyBorder="1" applyAlignment="1" applyProtection="1">
      <alignment horizontal="right" vertical="top"/>
      <protection locked="0"/>
    </xf>
    <xf numFmtId="0" fontId="36" fillId="10" borderId="61" xfId="0" applyFont="1" applyFill="1" applyBorder="1" applyAlignment="1" applyProtection="1">
      <alignment horizontal="right" vertical="top"/>
      <protection locked="0"/>
    </xf>
    <xf numFmtId="9" fontId="30" fillId="12" borderId="16" xfId="6" applyFont="1" applyFill="1" applyBorder="1" applyAlignment="1" applyProtection="1">
      <alignment horizontal="left" vertical="top"/>
      <protection locked="0"/>
    </xf>
    <xf numFmtId="9" fontId="30" fillId="12" borderId="19" xfId="6" applyFont="1" applyFill="1" applyBorder="1" applyAlignment="1" applyProtection="1">
      <alignment horizontal="left" vertical="top"/>
      <protection locked="0"/>
    </xf>
    <xf numFmtId="0" fontId="36" fillId="10" borderId="45" xfId="0" applyFont="1" applyFill="1" applyBorder="1" applyAlignment="1" applyProtection="1">
      <alignment horizontal="left" vertical="top"/>
      <protection locked="0"/>
    </xf>
    <xf numFmtId="0" fontId="36" fillId="10" borderId="69" xfId="0" applyFont="1" applyFill="1" applyBorder="1" applyAlignment="1" applyProtection="1">
      <alignment horizontal="left" vertical="top"/>
      <protection locked="0"/>
    </xf>
    <xf numFmtId="0" fontId="30" fillId="12" borderId="58" xfId="0" applyFont="1" applyFill="1" applyBorder="1" applyAlignment="1" applyProtection="1">
      <alignment horizontal="left" vertical="top"/>
      <protection locked="0"/>
    </xf>
    <xf numFmtId="0" fontId="36" fillId="10" borderId="19" xfId="0" applyFont="1" applyFill="1" applyBorder="1" applyAlignment="1" applyProtection="1">
      <alignment horizontal="right" vertical="top"/>
      <protection locked="0"/>
    </xf>
    <xf numFmtId="2" fontId="36" fillId="9" borderId="106" xfId="0" applyNumberFormat="1" applyFont="1" applyFill="1" applyBorder="1" applyAlignment="1" applyProtection="1">
      <alignment horizontal="center" wrapText="1"/>
    </xf>
    <xf numFmtId="2" fontId="36" fillId="9" borderId="60" xfId="0" applyNumberFormat="1" applyFont="1" applyFill="1" applyBorder="1" applyAlignment="1" applyProtection="1">
      <alignment horizontal="center" wrapText="1"/>
    </xf>
    <xf numFmtId="0" fontId="36" fillId="10" borderId="27" xfId="0" applyFont="1" applyFill="1" applyBorder="1" applyAlignment="1" applyProtection="1">
      <alignment horizontal="left" vertical="top"/>
      <protection locked="0"/>
    </xf>
    <xf numFmtId="0" fontId="30" fillId="12" borderId="57" xfId="0" applyFont="1" applyFill="1" applyBorder="1" applyAlignment="1" applyProtection="1">
      <alignment horizontal="left" vertical="top"/>
      <protection locked="0"/>
    </xf>
    <xf numFmtId="0" fontId="30" fillId="12" borderId="26" xfId="0" applyFont="1" applyFill="1" applyBorder="1" applyAlignment="1" applyProtection="1">
      <alignment horizontal="left" vertical="top"/>
      <protection locked="0"/>
    </xf>
    <xf numFmtId="0" fontId="30" fillId="12" borderId="59" xfId="0" applyFont="1" applyFill="1" applyBorder="1" applyAlignment="1" applyProtection="1">
      <alignment horizontal="left" vertical="top"/>
      <protection locked="0"/>
    </xf>
    <xf numFmtId="9" fontId="36" fillId="9" borderId="10" xfId="0" applyNumberFormat="1" applyFont="1" applyFill="1" applyBorder="1" applyAlignment="1" applyProtection="1">
      <alignment horizontal="center" wrapText="1"/>
    </xf>
    <xf numFmtId="9" fontId="36" fillId="9" borderId="22" xfId="0" applyNumberFormat="1" applyFont="1" applyFill="1" applyBorder="1" applyAlignment="1" applyProtection="1">
      <alignment horizontal="center" wrapText="1"/>
    </xf>
    <xf numFmtId="0" fontId="36" fillId="10" borderId="47" xfId="0" applyFont="1" applyFill="1" applyBorder="1" applyAlignment="1" applyProtection="1">
      <alignment horizontal="left" vertical="center" wrapText="1"/>
    </xf>
    <xf numFmtId="0" fontId="36" fillId="10" borderId="1" xfId="0" applyFont="1" applyFill="1" applyBorder="1" applyAlignment="1" applyProtection="1">
      <alignment horizontal="left" vertical="center" wrapText="1"/>
    </xf>
    <xf numFmtId="7" fontId="36" fillId="10" borderId="1" xfId="2" applyNumberFormat="1" applyFont="1" applyFill="1" applyBorder="1" applyAlignment="1" applyProtection="1">
      <alignment horizontal="center" vertical="center" wrapText="1"/>
    </xf>
    <xf numFmtId="7" fontId="36" fillId="10" borderId="16" xfId="2" applyNumberFormat="1" applyFont="1" applyFill="1" applyBorder="1" applyAlignment="1" applyProtection="1">
      <alignment horizontal="center" vertical="center" wrapText="1"/>
    </xf>
    <xf numFmtId="0" fontId="36" fillId="10" borderId="51" xfId="0" applyFont="1" applyFill="1" applyBorder="1" applyAlignment="1" applyProtection="1">
      <alignment horizontal="left" vertical="center" wrapText="1"/>
    </xf>
    <xf numFmtId="0" fontId="36" fillId="10" borderId="53" xfId="0" applyFont="1" applyFill="1" applyBorder="1" applyAlignment="1" applyProtection="1">
      <alignment horizontal="left" vertical="center" wrapText="1"/>
    </xf>
    <xf numFmtId="0" fontId="36" fillId="10" borderId="26" xfId="0" applyFont="1" applyFill="1" applyBorder="1" applyAlignment="1" applyProtection="1">
      <alignment horizontal="right" vertical="top"/>
      <protection locked="0"/>
    </xf>
    <xf numFmtId="0" fontId="36" fillId="9" borderId="34" xfId="0" applyFont="1" applyFill="1" applyBorder="1" applyAlignment="1" applyProtection="1">
      <alignment horizontal="center" vertical="top" wrapText="1"/>
      <protection locked="0"/>
    </xf>
    <xf numFmtId="0" fontId="0" fillId="9" borderId="30" xfId="0" applyFill="1" applyBorder="1" applyAlignment="1">
      <alignment horizontal="center" vertical="top" wrapText="1"/>
    </xf>
    <xf numFmtId="0" fontId="0" fillId="9" borderId="64" xfId="0" applyFill="1" applyBorder="1" applyAlignment="1">
      <alignment horizontal="center" vertical="top" wrapText="1"/>
    </xf>
    <xf numFmtId="0" fontId="30" fillId="12" borderId="61" xfId="0" applyFont="1" applyFill="1" applyBorder="1" applyAlignment="1" applyProtection="1">
      <alignment horizontal="left" vertical="top"/>
      <protection locked="0"/>
    </xf>
    <xf numFmtId="0" fontId="36" fillId="10" borderId="20" xfId="0" applyFont="1" applyFill="1" applyBorder="1" applyAlignment="1" applyProtection="1">
      <alignment horizontal="right" vertical="top"/>
      <protection locked="0"/>
    </xf>
    <xf numFmtId="0" fontId="30" fillId="12" borderId="69" xfId="0" applyFont="1" applyFill="1" applyBorder="1" applyAlignment="1" applyProtection="1">
      <alignment horizontal="left" vertical="top"/>
      <protection locked="0"/>
    </xf>
    <xf numFmtId="0" fontId="36" fillId="10" borderId="21" xfId="0" applyFont="1" applyFill="1" applyBorder="1" applyAlignment="1" applyProtection="1">
      <alignment horizontal="left" vertical="top"/>
      <protection locked="0"/>
    </xf>
    <xf numFmtId="0" fontId="30" fillId="12" borderId="82" xfId="0" applyFont="1" applyFill="1" applyBorder="1" applyAlignment="1" applyProtection="1">
      <alignment horizontal="left" vertical="top"/>
      <protection locked="0"/>
    </xf>
    <xf numFmtId="0" fontId="28" fillId="17" borderId="30" xfId="0" applyFont="1" applyFill="1" applyBorder="1" applyAlignment="1" applyProtection="1">
      <alignment horizontal="center" vertical="top" wrapText="1"/>
    </xf>
    <xf numFmtId="9" fontId="36" fillId="9" borderId="35" xfId="0" applyNumberFormat="1" applyFont="1" applyFill="1" applyBorder="1" applyAlignment="1" applyProtection="1">
      <alignment horizontal="center" wrapText="1"/>
    </xf>
    <xf numFmtId="9" fontId="36" fillId="9" borderId="7" xfId="0" applyNumberFormat="1" applyFont="1" applyFill="1" applyBorder="1" applyAlignment="1" applyProtection="1">
      <alignment horizontal="center" wrapText="1"/>
    </xf>
    <xf numFmtId="0" fontId="36" fillId="9" borderId="10" xfId="0" applyFont="1" applyFill="1" applyBorder="1" applyAlignment="1" applyProtection="1">
      <alignment horizontal="center" wrapText="1"/>
    </xf>
    <xf numFmtId="0" fontId="36" fillId="9" borderId="22" xfId="0" applyFont="1" applyFill="1" applyBorder="1" applyAlignment="1" applyProtection="1">
      <alignment horizontal="center" wrapText="1"/>
    </xf>
    <xf numFmtId="0" fontId="36" fillId="10" borderId="53"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30" fillId="0" borderId="40" xfId="0" applyFont="1" applyBorder="1" applyAlignment="1" applyProtection="1">
      <alignment horizontal="center" vertical="center" textRotation="90" wrapText="1"/>
      <protection locked="0"/>
    </xf>
    <xf numFmtId="0" fontId="30" fillId="22" borderId="57" xfId="0" applyFont="1" applyFill="1" applyBorder="1" applyAlignment="1" applyProtection="1">
      <alignment horizontal="center" vertical="center" wrapText="1"/>
    </xf>
    <xf numFmtId="0" fontId="30" fillId="22" borderId="59"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37" xfId="0" applyFont="1" applyFill="1" applyBorder="1" applyAlignment="1" applyProtection="1">
      <alignment horizontal="center" vertical="center" wrapText="1"/>
    </xf>
    <xf numFmtId="0" fontId="30" fillId="22" borderId="15" xfId="0" applyFont="1" applyFill="1" applyBorder="1" applyAlignment="1" applyProtection="1">
      <alignment horizontal="center" vertical="center" wrapText="1"/>
    </xf>
    <xf numFmtId="0" fontId="30" fillId="22" borderId="67" xfId="0" applyFont="1" applyFill="1" applyBorder="1" applyAlignment="1" applyProtection="1">
      <alignment horizontal="center" vertical="center" wrapText="1"/>
    </xf>
    <xf numFmtId="0" fontId="30" fillId="0" borderId="0" xfId="0" applyFont="1" applyAlignment="1" applyProtection="1">
      <alignment horizontal="left" vertical="top" wrapText="1"/>
      <protection locked="0"/>
    </xf>
    <xf numFmtId="0" fontId="80" fillId="0" borderId="0" xfId="0" applyFont="1" applyAlignment="1">
      <alignment horizontal="left" vertical="top" wrapText="1"/>
    </xf>
    <xf numFmtId="0" fontId="74" fillId="0" borderId="30" xfId="0" applyFont="1" applyBorder="1" applyAlignment="1">
      <alignment horizontal="center" wrapText="1"/>
    </xf>
    <xf numFmtId="0" fontId="74" fillId="0" borderId="64" xfId="0" applyFont="1" applyBorder="1" applyAlignment="1">
      <alignment horizontal="center" wrapText="1"/>
    </xf>
    <xf numFmtId="7" fontId="32" fillId="10" borderId="1" xfId="2" applyNumberFormat="1" applyFont="1" applyFill="1" applyBorder="1" applyAlignment="1" applyProtection="1">
      <alignment horizontal="center" vertical="center" wrapText="1"/>
    </xf>
    <xf numFmtId="7" fontId="32" fillId="10" borderId="16" xfId="2" applyNumberFormat="1" applyFont="1" applyFill="1" applyBorder="1" applyAlignment="1" applyProtection="1">
      <alignment horizontal="center" vertical="center" wrapText="1"/>
    </xf>
    <xf numFmtId="0" fontId="39" fillId="10" borderId="47" xfId="0" applyFont="1" applyFill="1" applyBorder="1" applyAlignment="1" applyProtection="1">
      <alignment horizontal="center" vertical="center"/>
      <protection locked="0"/>
    </xf>
    <xf numFmtId="0" fontId="39" fillId="10" borderId="1" xfId="0" applyFont="1" applyFill="1" applyBorder="1" applyAlignment="1" applyProtection="1">
      <alignment horizontal="center" vertical="center"/>
      <protection locked="0"/>
    </xf>
    <xf numFmtId="0" fontId="33" fillId="12" borderId="1" xfId="0" applyFont="1" applyFill="1" applyBorder="1" applyAlignment="1" applyProtection="1">
      <alignment horizontal="center" vertical="center"/>
      <protection locked="0"/>
    </xf>
    <xf numFmtId="0" fontId="30" fillId="0" borderId="24" xfId="0" applyFont="1" applyBorder="1" applyAlignment="1" applyProtection="1">
      <alignment horizontal="center" vertical="center" textRotation="90" wrapText="1"/>
      <protection locked="0"/>
    </xf>
    <xf numFmtId="0" fontId="11" fillId="16" borderId="45" xfId="0" applyFont="1" applyFill="1" applyBorder="1" applyAlignment="1" applyProtection="1">
      <alignment horizontal="left" vertical="top" wrapText="1"/>
      <protection locked="0"/>
    </xf>
    <xf numFmtId="0" fontId="11" fillId="16" borderId="21" xfId="0" applyFont="1" applyFill="1" applyBorder="1" applyAlignment="1" applyProtection="1">
      <alignment horizontal="left" vertical="top" wrapText="1"/>
      <protection locked="0"/>
    </xf>
    <xf numFmtId="0" fontId="11" fillId="16" borderId="69" xfId="0" applyFont="1" applyFill="1" applyBorder="1" applyAlignment="1" applyProtection="1">
      <alignment horizontal="left" vertical="top" wrapText="1"/>
      <protection locked="0"/>
    </xf>
    <xf numFmtId="0" fontId="11" fillId="16" borderId="16" xfId="0" applyFont="1" applyFill="1" applyBorder="1" applyAlignment="1" applyProtection="1">
      <alignment horizontal="left" vertical="top" wrapText="1"/>
      <protection locked="0"/>
    </xf>
    <xf numFmtId="0" fontId="11" fillId="16" borderId="19" xfId="0" applyFont="1" applyFill="1" applyBorder="1" applyAlignment="1" applyProtection="1">
      <alignment horizontal="left" vertical="top" wrapText="1"/>
      <protection locked="0"/>
    </xf>
    <xf numFmtId="0" fontId="11" fillId="16" borderId="58" xfId="0" applyFont="1" applyFill="1" applyBorder="1" applyAlignment="1" applyProtection="1">
      <alignment horizontal="left" vertical="top" wrapText="1"/>
      <protection locked="0"/>
    </xf>
    <xf numFmtId="9" fontId="39" fillId="9" borderId="112" xfId="0" applyNumberFormat="1" applyFont="1" applyFill="1" applyBorder="1" applyAlignment="1" applyProtection="1">
      <alignment horizontal="center" vertical="center" wrapText="1"/>
    </xf>
    <xf numFmtId="9" fontId="39" fillId="9" borderId="113" xfId="0" applyNumberFormat="1" applyFont="1" applyFill="1" applyBorder="1" applyAlignment="1" applyProtection="1">
      <alignment horizontal="center" vertical="center" wrapText="1"/>
    </xf>
    <xf numFmtId="0" fontId="0" fillId="0" borderId="111" xfId="0" applyBorder="1" applyAlignment="1">
      <alignment horizontal="center" vertical="center" wrapText="1"/>
    </xf>
    <xf numFmtId="0" fontId="35" fillId="9" borderId="24" xfId="0" applyFont="1" applyFill="1" applyBorder="1" applyAlignment="1" applyProtection="1">
      <alignment horizontal="center" vertical="center" wrapText="1"/>
    </xf>
    <xf numFmtId="0" fontId="0" fillId="0" borderId="114" xfId="0" applyBorder="1" applyAlignment="1">
      <alignment horizontal="center" vertical="center" wrapText="1"/>
    </xf>
    <xf numFmtId="0" fontId="39" fillId="9" borderId="10" xfId="0" applyFont="1" applyFill="1" applyBorder="1" applyAlignment="1" applyProtection="1">
      <alignment horizontal="center" vertical="center" wrapText="1"/>
    </xf>
    <xf numFmtId="0" fontId="36" fillId="0" borderId="19" xfId="0" applyFont="1" applyFill="1" applyBorder="1" applyAlignment="1" applyProtection="1">
      <alignment horizontal="right" vertical="top" wrapText="1"/>
      <protection locked="0"/>
    </xf>
    <xf numFmtId="0" fontId="36" fillId="0" borderId="58" xfId="0" applyFont="1" applyFill="1" applyBorder="1" applyAlignment="1" applyProtection="1">
      <alignment horizontal="right" vertical="top" wrapText="1"/>
      <protection locked="0"/>
    </xf>
    <xf numFmtId="0" fontId="36" fillId="0" borderId="16" xfId="0" applyFont="1" applyFill="1" applyBorder="1" applyAlignment="1" applyProtection="1">
      <alignment horizontal="left" vertical="top"/>
      <protection locked="0"/>
    </xf>
    <xf numFmtId="0" fontId="36" fillId="0" borderId="58" xfId="0" applyFont="1" applyFill="1" applyBorder="1" applyAlignment="1" applyProtection="1">
      <alignment horizontal="left" vertical="top"/>
      <protection locked="0"/>
    </xf>
    <xf numFmtId="0" fontId="55" fillId="0" borderId="34" xfId="0" applyFont="1" applyFill="1" applyBorder="1" applyAlignment="1" applyProtection="1">
      <alignment horizontal="center" vertical="top" wrapText="1"/>
      <protection locked="0"/>
    </xf>
    <xf numFmtId="0" fontId="39" fillId="12" borderId="20" xfId="0" applyFont="1" applyFill="1" applyBorder="1" applyAlignment="1" applyProtection="1">
      <alignment horizontal="left" vertical="top"/>
      <protection locked="0"/>
    </xf>
    <xf numFmtId="7" fontId="32" fillId="10" borderId="6" xfId="2" applyNumberFormat="1" applyFont="1" applyFill="1" applyBorder="1" applyAlignment="1" applyProtection="1">
      <alignment horizontal="center" vertical="center" wrapText="1"/>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9" fillId="12" borderId="1" xfId="0" applyFont="1" applyFill="1" applyBorder="1" applyAlignment="1" applyProtection="1">
      <alignment horizontal="left" vertical="top"/>
      <protection locked="0"/>
    </xf>
    <xf numFmtId="0" fontId="39" fillId="12" borderId="53"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32" fillId="9" borderId="4" xfId="0" applyFont="1" applyFill="1" applyBorder="1" applyAlignment="1" applyProtection="1">
      <alignment horizontal="center" vertical="top"/>
      <protection locked="0"/>
    </xf>
    <xf numFmtId="0" fontId="32" fillId="9" borderId="62" xfId="0" applyFont="1" applyFill="1" applyBorder="1" applyAlignment="1" applyProtection="1">
      <alignment horizontal="center" vertical="top"/>
      <protection locked="0"/>
    </xf>
    <xf numFmtId="0" fontId="39" fillId="12" borderId="2" xfId="0" applyFont="1" applyFill="1" applyBorder="1" applyAlignment="1" applyProtection="1">
      <alignment horizontal="left" vertical="top"/>
      <protection locked="0"/>
    </xf>
    <xf numFmtId="2" fontId="35" fillId="9" borderId="10" xfId="0" applyNumberFormat="1" applyFont="1" applyFill="1" applyBorder="1" applyAlignment="1" applyProtection="1">
      <alignment horizontal="center" vertical="center" wrapText="1"/>
    </xf>
    <xf numFmtId="2" fontId="35" fillId="9" borderId="12" xfId="0" applyNumberFormat="1" applyFont="1" applyFill="1" applyBorder="1" applyAlignment="1" applyProtection="1">
      <alignment horizontal="center" vertical="center" wrapText="1"/>
    </xf>
    <xf numFmtId="0" fontId="0" fillId="0" borderId="36" xfId="0" applyBorder="1" applyAlignment="1">
      <alignment horizontal="center" wrapText="1"/>
    </xf>
    <xf numFmtId="0" fontId="35" fillId="9" borderId="10" xfId="0" applyFont="1" applyFill="1" applyBorder="1" applyAlignment="1" applyProtection="1">
      <alignment horizontal="center" vertical="center" wrapText="1"/>
    </xf>
    <xf numFmtId="0" fontId="39" fillId="12" borderId="82" xfId="0" applyFont="1" applyFill="1" applyBorder="1" applyAlignment="1" applyProtection="1">
      <alignment horizontal="left" vertical="top"/>
      <protection locked="0"/>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0" fontId="39" fillId="0" borderId="30" xfId="0" applyFont="1" applyFill="1" applyBorder="1" applyAlignment="1" applyProtection="1">
      <alignment horizontal="center" vertical="top"/>
    </xf>
    <xf numFmtId="0" fontId="52" fillId="10" borderId="1"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48" fillId="0" borderId="38" xfId="0" applyFont="1" applyBorder="1" applyAlignment="1" applyProtection="1">
      <alignment horizontal="center" vertical="center" textRotation="90" wrapText="1"/>
      <protection locked="0"/>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3" xfId="4"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39" fillId="10" borderId="26" xfId="4" applyFont="1" applyFill="1" applyBorder="1" applyAlignment="1" applyProtection="1">
      <alignment horizontal="right" vertical="top"/>
      <protection locked="0"/>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3" fillId="12" borderId="16"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33" fillId="12" borderId="54" xfId="0" applyFont="1" applyFill="1" applyBorder="1" applyAlignment="1" applyProtection="1">
      <alignment horizontal="lef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9" fontId="30" fillId="0" borderId="57" xfId="0" applyNumberFormat="1" applyFont="1" applyFill="1" applyBorder="1" applyAlignment="1" applyProtection="1">
      <alignment horizontal="center" vertical="top" wrapText="1"/>
    </xf>
    <xf numFmtId="9" fontId="30" fillId="0" borderId="55" xfId="0" applyNumberFormat="1" applyFont="1" applyFill="1" applyBorder="1" applyAlignment="1" applyProtection="1">
      <alignment horizontal="center" vertical="top" wrapText="1"/>
    </xf>
    <xf numFmtId="0" fontId="36" fillId="0" borderId="56" xfId="0" applyFont="1" applyFill="1" applyBorder="1" applyAlignment="1" applyProtection="1">
      <alignment horizontal="left" vertical="top"/>
      <protection locked="0"/>
    </xf>
    <xf numFmtId="0" fontId="36" fillId="0" borderId="40" xfId="0" applyFont="1" applyFill="1" applyBorder="1" applyAlignment="1" applyProtection="1">
      <alignment horizontal="left" vertical="top"/>
      <protection locked="0"/>
    </xf>
    <xf numFmtId="0" fontId="30" fillId="12" borderId="55" xfId="0" applyFont="1" applyFill="1" applyBorder="1" applyAlignment="1" applyProtection="1">
      <alignment horizontal="left" vertical="top"/>
      <protection locked="0"/>
    </xf>
    <xf numFmtId="0" fontId="36" fillId="0" borderId="59" xfId="0" applyFont="1" applyFill="1" applyBorder="1" applyAlignment="1" applyProtection="1">
      <alignment horizontal="right" vertical="top"/>
      <protection locked="0"/>
    </xf>
    <xf numFmtId="0" fontId="81" fillId="0" borderId="71" xfId="0" applyFont="1" applyFill="1" applyBorder="1" applyAlignment="1" applyProtection="1">
      <alignment horizontal="right" vertical="top"/>
      <protection locked="0"/>
    </xf>
    <xf numFmtId="0" fontId="81" fillId="0" borderId="2" xfId="0" applyFont="1" applyFill="1" applyBorder="1" applyAlignment="1" applyProtection="1">
      <alignment horizontal="right" vertical="top"/>
      <protection locked="0"/>
    </xf>
    <xf numFmtId="9" fontId="30" fillId="0" borderId="45" xfId="6" applyFont="1" applyFill="1" applyBorder="1" applyAlignment="1" applyProtection="1">
      <alignment horizontal="center" vertical="top"/>
      <protection locked="0"/>
    </xf>
    <xf numFmtId="9" fontId="30" fillId="0" borderId="68" xfId="6" applyFont="1" applyFill="1" applyBorder="1" applyAlignment="1" applyProtection="1">
      <alignment horizontal="center" vertical="top"/>
      <protection locked="0"/>
    </xf>
    <xf numFmtId="166" fontId="30" fillId="16" borderId="35" xfId="0" applyNumberFormat="1" applyFont="1" applyFill="1" applyBorder="1" applyAlignment="1" applyProtection="1">
      <alignment vertical="top" wrapText="1"/>
    </xf>
    <xf numFmtId="166" fontId="30" fillId="0" borderId="49" xfId="0" applyNumberFormat="1" applyFont="1" applyFill="1" applyBorder="1" applyAlignment="1" applyProtection="1">
      <alignment vertical="top" wrapText="1"/>
    </xf>
    <xf numFmtId="0" fontId="30" fillId="0" borderId="7" xfId="0" applyFont="1" applyFill="1" applyBorder="1" applyAlignment="1" applyProtection="1">
      <alignment vertical="top"/>
      <protection locked="0"/>
    </xf>
    <xf numFmtId="2" fontId="36" fillId="0" borderId="83" xfId="0" applyNumberFormat="1" applyFont="1" applyFill="1" applyBorder="1" applyAlignment="1" applyProtection="1">
      <alignment vertical="top"/>
    </xf>
    <xf numFmtId="166" fontId="30" fillId="0" borderId="10" xfId="0" applyNumberFormat="1" applyFont="1" applyFill="1" applyBorder="1" applyAlignment="1" applyProtection="1">
      <alignment vertical="top" wrapText="1"/>
    </xf>
    <xf numFmtId="166" fontId="30" fillId="0" borderId="94" xfId="0" applyNumberFormat="1" applyFont="1" applyFill="1" applyBorder="1" applyAlignment="1" applyProtection="1">
      <alignment vertical="top" wrapText="1"/>
    </xf>
    <xf numFmtId="2" fontId="30" fillId="0" borderId="22" xfId="0" applyNumberFormat="1" applyFont="1" applyFill="1" applyBorder="1" applyAlignment="1" applyProtection="1">
      <alignment vertical="top"/>
      <protection locked="0"/>
    </xf>
    <xf numFmtId="0" fontId="30" fillId="0" borderId="22" xfId="0" applyFont="1" applyFill="1" applyBorder="1" applyAlignment="1" applyProtection="1">
      <alignment vertical="top"/>
      <protection locked="0"/>
    </xf>
    <xf numFmtId="0" fontId="36" fillId="0" borderId="124" xfId="0" applyFont="1" applyFill="1" applyBorder="1" applyAlignment="1" applyProtection="1">
      <alignment vertical="top"/>
      <protection locked="0"/>
    </xf>
    <xf numFmtId="0" fontId="39" fillId="9" borderId="111" xfId="0" applyFont="1" applyFill="1" applyBorder="1" applyAlignment="1" applyProtection="1">
      <alignment horizontal="center" vertical="center" wrapText="1"/>
    </xf>
    <xf numFmtId="0" fontId="39" fillId="10" borderId="49" xfId="0" applyFont="1" applyFill="1" applyBorder="1" applyAlignment="1" applyProtection="1">
      <alignment horizontal="left" vertical="top"/>
      <protection locked="0"/>
    </xf>
    <xf numFmtId="0" fontId="39" fillId="10" borderId="26" xfId="0" applyFont="1" applyFill="1" applyBorder="1" applyAlignment="1" applyProtection="1">
      <alignment horizontal="left" vertical="top"/>
      <protection locked="0"/>
    </xf>
    <xf numFmtId="0" fontId="39" fillId="10" borderId="59"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9" fillId="10" borderId="49" xfId="0" applyFont="1" applyFill="1" applyBorder="1" applyAlignment="1" applyProtection="1">
      <alignment horizontal="right" vertical="top"/>
      <protection locked="0"/>
    </xf>
    <xf numFmtId="0" fontId="33" fillId="12" borderId="26" xfId="0" applyFont="1" applyFill="1" applyBorder="1" applyAlignment="1" applyProtection="1">
      <alignment horizontal="left" vertical="top"/>
      <protection locked="0"/>
    </xf>
    <xf numFmtId="0" fontId="39" fillId="10" borderId="57" xfId="0" applyFont="1" applyFill="1" applyBorder="1" applyAlignment="1" applyProtection="1">
      <alignment horizontal="right" vertical="top"/>
      <protection locked="0"/>
    </xf>
    <xf numFmtId="0" fontId="62" fillId="10" borderId="65" xfId="0" applyFont="1" applyFill="1" applyBorder="1" applyAlignment="1" applyProtection="1">
      <alignment horizontal="right" vertical="top"/>
      <protection locked="0"/>
    </xf>
    <xf numFmtId="0" fontId="62" fillId="10" borderId="27" xfId="0" applyFont="1" applyFill="1" applyBorder="1" applyAlignment="1" applyProtection="1">
      <alignment horizontal="right" vertical="top"/>
      <protection locked="0"/>
    </xf>
    <xf numFmtId="0" fontId="62" fillId="10" borderId="67" xfId="0" applyFont="1" applyFill="1" applyBorder="1" applyAlignment="1" applyProtection="1">
      <alignment horizontal="right" vertical="top"/>
      <protection locked="0"/>
    </xf>
    <xf numFmtId="0" fontId="39" fillId="10" borderId="65" xfId="0" applyFont="1" applyFill="1" applyBorder="1" applyAlignment="1" applyProtection="1">
      <alignment horizontal="right" vertical="top"/>
      <protection locked="0"/>
    </xf>
    <xf numFmtId="0" fontId="39" fillId="10" borderId="67" xfId="0" applyFont="1" applyFill="1" applyBorder="1" applyAlignment="1" applyProtection="1">
      <alignment horizontal="right" vertical="top"/>
      <protection locked="0"/>
    </xf>
    <xf numFmtId="0" fontId="39" fillId="10" borderId="3" xfId="0" applyFont="1" applyFill="1" applyBorder="1" applyAlignment="1" applyProtection="1">
      <alignment vertical="top"/>
      <protection locked="0"/>
    </xf>
    <xf numFmtId="0" fontId="39" fillId="10" borderId="15" xfId="0" applyFont="1" applyFill="1" applyBorder="1" applyAlignment="1" applyProtection="1">
      <alignment horizontal="left" vertical="top"/>
      <protection locked="0"/>
    </xf>
    <xf numFmtId="0" fontId="39" fillId="10" borderId="83" xfId="0" applyFont="1" applyFill="1" applyBorder="1" applyAlignment="1" applyProtection="1">
      <alignment horizontal="left" vertical="top"/>
      <protection locked="0"/>
    </xf>
    <xf numFmtId="0" fontId="39" fillId="10" borderId="20" xfId="0" applyFont="1" applyFill="1" applyBorder="1" applyAlignment="1" applyProtection="1">
      <alignment horizontal="left" vertical="top"/>
      <protection locked="0"/>
    </xf>
    <xf numFmtId="0" fontId="39" fillId="10" borderId="61" xfId="0" applyFont="1" applyFill="1" applyBorder="1" applyAlignment="1" applyProtection="1">
      <alignment horizontal="left" vertical="top"/>
      <protection locked="0"/>
    </xf>
    <xf numFmtId="0" fontId="36" fillId="0" borderId="71" xfId="0" applyFont="1" applyFill="1" applyBorder="1" applyAlignment="1" applyProtection="1">
      <alignment horizontal="left" vertical="top"/>
      <protection locked="0"/>
    </xf>
    <xf numFmtId="0" fontId="36" fillId="0" borderId="2" xfId="0" applyFont="1" applyFill="1" applyBorder="1" applyAlignment="1" applyProtection="1">
      <alignment horizontal="left" vertical="top"/>
      <protection locked="0"/>
    </xf>
    <xf numFmtId="166" fontId="30" fillId="24" borderId="1" xfId="0" applyNumberFormat="1" applyFont="1" applyFill="1" applyBorder="1" applyAlignment="1" applyProtection="1">
      <alignment horizontal="right" vertical="top" wrapText="1"/>
      <protection locked="0"/>
    </xf>
    <xf numFmtId="166" fontId="30" fillId="24" borderId="3" xfId="0" applyNumberFormat="1" applyFont="1" applyFill="1" applyBorder="1" applyAlignment="1" applyProtection="1">
      <alignment horizontal="right" vertical="top" wrapText="1"/>
      <protection locked="0"/>
    </xf>
    <xf numFmtId="2" fontId="30" fillId="24" borderId="1" xfId="0" applyNumberFormat="1" applyFont="1" applyFill="1" applyBorder="1" applyAlignment="1" applyProtection="1">
      <alignment vertical="top"/>
      <protection locked="0"/>
    </xf>
    <xf numFmtId="0" fontId="33" fillId="10" borderId="69" xfId="0" applyFont="1" applyFill="1" applyBorder="1" applyAlignment="1" applyProtection="1">
      <alignment horizontal="left" vertical="top"/>
    </xf>
    <xf numFmtId="9" fontId="33" fillId="12" borderId="67" xfId="6" applyFont="1" applyFill="1" applyBorder="1" applyAlignment="1" applyProtection="1">
      <alignment horizontal="left" vertical="top"/>
      <protection locked="0"/>
    </xf>
    <xf numFmtId="9" fontId="33" fillId="10" borderId="59" xfId="0" applyNumberFormat="1" applyFont="1" applyFill="1" applyBorder="1" applyAlignment="1" applyProtection="1">
      <alignment horizontal="left" vertical="top" wrapText="1"/>
    </xf>
    <xf numFmtId="1" fontId="30" fillId="0" borderId="45" xfId="0" applyNumberFormat="1" applyFont="1" applyFill="1" applyBorder="1" applyAlignment="1" applyProtection="1">
      <alignment horizontal="left" vertical="top"/>
      <protection locked="0"/>
    </xf>
    <xf numFmtId="1" fontId="30" fillId="0" borderId="68" xfId="0" applyNumberFormat="1" applyFont="1" applyFill="1" applyBorder="1" applyAlignment="1" applyProtection="1">
      <alignment horizontal="left" vertical="top"/>
      <protection locked="0"/>
    </xf>
    <xf numFmtId="1" fontId="33" fillId="0" borderId="16" xfId="0" applyNumberFormat="1" applyFont="1" applyFill="1" applyBorder="1" applyAlignment="1" applyProtection="1">
      <alignment horizontal="left" vertical="top"/>
      <protection locked="0"/>
    </xf>
    <xf numFmtId="1" fontId="33" fillId="0" borderId="19" xfId="0" applyNumberFormat="1" applyFont="1" applyFill="1" applyBorder="1" applyAlignment="1" applyProtection="1">
      <alignment horizontal="left" vertical="top"/>
      <protection locked="0"/>
    </xf>
    <xf numFmtId="1" fontId="30" fillId="10" borderId="15" xfId="0" applyNumberFormat="1" applyFont="1" applyFill="1" applyBorder="1" applyAlignment="1" applyProtection="1">
      <alignment horizontal="left" vertical="top"/>
    </xf>
    <xf numFmtId="1" fontId="30" fillId="10" borderId="66" xfId="0" applyNumberFormat="1" applyFont="1" applyFill="1" applyBorder="1" applyAlignment="1" applyProtection="1">
      <alignment horizontal="left" vertical="top"/>
    </xf>
    <xf numFmtId="0" fontId="39" fillId="10" borderId="56" xfId="0" applyFont="1" applyFill="1" applyBorder="1" applyAlignment="1" applyProtection="1">
      <alignment horizontal="left" vertical="top"/>
      <protection locked="0"/>
    </xf>
    <xf numFmtId="0" fontId="39" fillId="10" borderId="40" xfId="0" applyFont="1" applyFill="1" applyBorder="1" applyAlignment="1" applyProtection="1">
      <alignment horizontal="left" vertical="top"/>
      <protection locked="0"/>
    </xf>
    <xf numFmtId="0" fontId="33" fillId="12" borderId="55" xfId="0" applyFont="1" applyFill="1" applyBorder="1" applyAlignment="1" applyProtection="1">
      <alignment horizontal="left" vertical="top"/>
      <protection locked="0"/>
    </xf>
    <xf numFmtId="0" fontId="33" fillId="10" borderId="26" xfId="0" applyFont="1" applyFill="1" applyBorder="1" applyAlignment="1" applyProtection="1">
      <alignment horizontal="center" vertical="top"/>
      <protection locked="0"/>
    </xf>
    <xf numFmtId="0" fontId="39" fillId="10" borderId="55" xfId="0" applyFont="1" applyFill="1" applyBorder="1" applyAlignment="1" applyProtection="1">
      <alignment vertical="top"/>
      <protection locked="0"/>
    </xf>
    <xf numFmtId="0" fontId="62" fillId="10" borderId="71" xfId="0" applyFont="1" applyFill="1" applyBorder="1" applyAlignment="1" applyProtection="1">
      <alignment horizontal="right" vertical="top"/>
      <protection locked="0"/>
    </xf>
    <xf numFmtId="0" fontId="62" fillId="10" borderId="2" xfId="0" applyFont="1" applyFill="1" applyBorder="1" applyAlignment="1" applyProtection="1">
      <alignment horizontal="right" vertical="top"/>
      <protection locked="0"/>
    </xf>
    <xf numFmtId="9" fontId="33" fillId="12" borderId="45" xfId="6" applyFont="1" applyFill="1" applyBorder="1" applyAlignment="1" applyProtection="1">
      <alignment horizontal="left" vertical="top"/>
      <protection locked="0"/>
    </xf>
    <xf numFmtId="9" fontId="33" fillId="12" borderId="21" xfId="6" applyFont="1" applyFill="1" applyBorder="1" applyAlignment="1" applyProtection="1">
      <alignment horizontal="left" vertical="top"/>
      <protection locked="0"/>
    </xf>
    <xf numFmtId="166" fontId="30" fillId="12" borderId="1" xfId="0" applyNumberFormat="1" applyFont="1" applyFill="1" applyBorder="1" applyAlignment="1" applyProtection="1">
      <alignment horizontal="right" vertical="top" wrapText="1"/>
      <protection locked="0"/>
    </xf>
    <xf numFmtId="166" fontId="33" fillId="12" borderId="1" xfId="0" applyNumberFormat="1" applyFont="1" applyFill="1" applyBorder="1" applyAlignment="1" applyProtection="1">
      <alignment vertical="top" wrapText="1"/>
      <protection locked="0"/>
    </xf>
    <xf numFmtId="166" fontId="30" fillId="12" borderId="40" xfId="0" applyNumberFormat="1" applyFont="1" applyFill="1" applyBorder="1" applyAlignment="1" applyProtection="1">
      <alignment horizontal="right" vertical="top" wrapText="1"/>
      <protection locked="0"/>
    </xf>
    <xf numFmtId="166" fontId="33" fillId="12" borderId="47" xfId="0" applyNumberFormat="1" applyFont="1" applyFill="1" applyBorder="1" applyAlignment="1" applyProtection="1">
      <alignment vertical="top" wrapText="1"/>
      <protection locked="0"/>
    </xf>
    <xf numFmtId="166" fontId="39" fillId="12" borderId="1" xfId="0" applyNumberFormat="1" applyFont="1" applyFill="1" applyBorder="1" applyAlignment="1" applyProtection="1">
      <alignment vertical="top" wrapText="1"/>
      <protection locked="0"/>
    </xf>
  </cellXfs>
  <cellStyles count="8">
    <cellStyle name="Currency" xfId="1" builtinId="4"/>
    <cellStyle name="Currency 2" xfId="2"/>
    <cellStyle name="Hyperlink" xfId="3" builtinId="8"/>
    <cellStyle name="Normal" xfId="0" builtinId="0"/>
    <cellStyle name="Normal 2" xfId="4"/>
    <cellStyle name="Normal 3" xfId="7"/>
    <cellStyle name="Percent" xfId="5" builtinId="5"/>
    <cellStyle name="Percent 2" xfId="6"/>
  </cellStyles>
  <dxfs count="179">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ill>
        <patternFill>
          <bgColor theme="0" tint="-0.24994659260841701"/>
        </patternFill>
      </fill>
    </dxf>
    <dxf>
      <fill>
        <patternFill>
          <bgColor indexed="42"/>
        </patternFill>
      </fill>
    </dxf>
    <dxf>
      <font>
        <color rgb="FFFF0000"/>
      </font>
    </dxf>
    <dxf>
      <fill>
        <patternFill>
          <bgColor indexed="22"/>
        </patternFill>
      </fill>
    </dxf>
    <dxf>
      <font>
        <b/>
        <i val="0"/>
        <color theme="0"/>
      </font>
      <fill>
        <patternFill>
          <bgColor rgb="FFC00000"/>
        </patternFill>
      </fill>
    </dxf>
    <dxf>
      <fill>
        <patternFill>
          <bgColor theme="0" tint="-0.24994659260841701"/>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1"/>
        </patternFill>
      </fill>
    </dxf>
    <dxf>
      <fill>
        <patternFill>
          <bgColor indexed="41"/>
        </patternFill>
      </fill>
    </dxf>
    <dxf>
      <fill>
        <patternFill>
          <bgColor indexed="22"/>
        </patternFill>
      </fill>
    </dxf>
    <dxf>
      <font>
        <color rgb="FFFF0000"/>
      </font>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0.24994659260841701"/>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8" Type="http://schemas.openxmlformats.org/officeDocument/2006/relationships/worksheet" Target="worksheets/sheet8.xml"/><Relationship Id="rId51"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16</xdr:row>
          <xdr:rowOff>62593</xdr:rowOff>
        </xdr:to>
        <xdr:sp macro="" textlink="">
          <xdr:nvSpPr>
            <xdr:cNvPr id="467986" name="Button 18" hidden="1">
              <a:extLst>
                <a:ext uri="{63B3BB69-23CF-44E3-9099-C40C66FF867C}">
                  <a14:compatExt spid="_x0000_s4679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16</xdr:row>
          <xdr:rowOff>157843</xdr:rowOff>
        </xdr:to>
        <xdr:sp macro="" textlink="">
          <xdr:nvSpPr>
            <xdr:cNvPr id="467987" name="Button 19" hidden="1">
              <a:extLst>
                <a:ext uri="{63B3BB69-23CF-44E3-9099-C40C66FF867C}">
                  <a14:compatExt spid="_x0000_s46798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104775</xdr:rowOff>
        </xdr:to>
        <xdr:sp macro="" textlink="">
          <xdr:nvSpPr>
            <xdr:cNvPr id="500753" name="Button 17" hidden="1">
              <a:extLst>
                <a:ext uri="{63B3BB69-23CF-44E3-9099-C40C66FF867C}">
                  <a14:compatExt spid="_x0000_s5007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0</xdr:rowOff>
        </xdr:to>
        <xdr:sp macro="" textlink="">
          <xdr:nvSpPr>
            <xdr:cNvPr id="500754" name="Button 18" hidden="1">
              <a:extLst>
                <a:ext uri="{63B3BB69-23CF-44E3-9099-C40C66FF867C}">
                  <a14:compatExt spid="_x0000_s5007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171450</xdr:rowOff>
        </xdr:to>
        <xdr:sp macro="" textlink="">
          <xdr:nvSpPr>
            <xdr:cNvPr id="486401" name="Button 1" hidden="1">
              <a:extLst>
                <a:ext uri="{63B3BB69-23CF-44E3-9099-C40C66FF867C}">
                  <a14:compatExt spid="_x0000_s48640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276225</xdr:colOff>
          <xdr:row>16</xdr:row>
          <xdr:rowOff>38100</xdr:rowOff>
        </xdr:to>
        <xdr:sp macro="" textlink="">
          <xdr:nvSpPr>
            <xdr:cNvPr id="486402" name="Button 2" hidden="1">
              <a:extLst>
                <a:ext uri="{63B3BB69-23CF-44E3-9099-C40C66FF867C}">
                  <a14:compatExt spid="_x0000_s48640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266700</xdr:colOff>
          <xdr:row>18</xdr:row>
          <xdr:rowOff>0</xdr:rowOff>
        </xdr:to>
        <xdr:sp macro="" textlink="">
          <xdr:nvSpPr>
            <xdr:cNvPr id="404482" name="Button 2" hidden="1">
              <a:extLst>
                <a:ext uri="{63B3BB69-23CF-44E3-9099-C40C66FF867C}">
                  <a14:compatExt spid="_x0000_s40448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28575</xdr:rowOff>
        </xdr:to>
        <xdr:sp macro="" textlink="">
          <xdr:nvSpPr>
            <xdr:cNvPr id="404483" name="Button 3" hidden="1">
              <a:extLst>
                <a:ext uri="{63B3BB69-23CF-44E3-9099-C40C66FF867C}">
                  <a14:compatExt spid="_x0000_s40448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523875</xdr:rowOff>
        </xdr:from>
        <xdr:to>
          <xdr:col>1</xdr:col>
          <xdr:colOff>266700</xdr:colOff>
          <xdr:row>19</xdr:row>
          <xdr:rowOff>66675</xdr:rowOff>
        </xdr:to>
        <xdr:sp macro="" textlink="">
          <xdr:nvSpPr>
            <xdr:cNvPr id="405506" name="Button 2" hidden="1">
              <a:extLst>
                <a:ext uri="{63B3BB69-23CF-44E3-9099-C40C66FF867C}">
                  <a14:compatExt spid="_x0000_s4055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219075</xdr:rowOff>
        </xdr:from>
        <xdr:to>
          <xdr:col>1</xdr:col>
          <xdr:colOff>266700</xdr:colOff>
          <xdr:row>20</xdr:row>
          <xdr:rowOff>76200</xdr:rowOff>
        </xdr:to>
        <xdr:sp macro="" textlink="">
          <xdr:nvSpPr>
            <xdr:cNvPr id="405507" name="Button 3" hidden="1">
              <a:extLst>
                <a:ext uri="{63B3BB69-23CF-44E3-9099-C40C66FF867C}">
                  <a14:compatExt spid="_x0000_s4055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152400</xdr:rowOff>
        </xdr:to>
        <xdr:sp macro="" textlink="">
          <xdr:nvSpPr>
            <xdr:cNvPr id="501761" name="Button 1" hidden="1">
              <a:extLst>
                <a:ext uri="{63B3BB69-23CF-44E3-9099-C40C66FF867C}">
                  <a14:compatExt spid="_x0000_s50176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16</xdr:row>
          <xdr:rowOff>19050</xdr:rowOff>
        </xdr:to>
        <xdr:sp macro="" textlink="">
          <xdr:nvSpPr>
            <xdr:cNvPr id="501762" name="Button 2" hidden="1">
              <a:extLst>
                <a:ext uri="{63B3BB69-23CF-44E3-9099-C40C66FF867C}">
                  <a14:compatExt spid="_x0000_s5017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142875</xdr:rowOff>
        </xdr:to>
        <xdr:sp macro="" textlink="">
          <xdr:nvSpPr>
            <xdr:cNvPr id="501768" name="Button 8" hidden="1">
              <a:extLst>
                <a:ext uri="{63B3BB69-23CF-44E3-9099-C40C66FF867C}">
                  <a14:compatExt spid="_x0000_s50176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501769" name="Button 9" hidden="1">
              <a:extLst>
                <a:ext uri="{63B3BB69-23CF-44E3-9099-C40C66FF867C}">
                  <a14:compatExt spid="_x0000_s5017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66" name="Button 2" hidden="1">
              <a:extLst>
                <a:ext uri="{63B3BB69-23CF-44E3-9099-C40C66FF867C}">
                  <a14:compatExt spid="_x0000_s42086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2</xdr:col>
          <xdr:colOff>0</xdr:colOff>
          <xdr:row>14</xdr:row>
          <xdr:rowOff>219075</xdr:rowOff>
        </xdr:to>
        <xdr:sp macro="" textlink="">
          <xdr:nvSpPr>
            <xdr:cNvPr id="420867" name="Button 3" hidden="1">
              <a:extLst>
                <a:ext uri="{63B3BB69-23CF-44E3-9099-C40C66FF867C}">
                  <a14:compatExt spid="_x0000_s42086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266700</xdr:rowOff>
        </xdr:from>
        <xdr:to>
          <xdr:col>2</xdr:col>
          <xdr:colOff>0</xdr:colOff>
          <xdr:row>14</xdr:row>
          <xdr:rowOff>123825</xdr:rowOff>
        </xdr:to>
        <xdr:sp macro="" textlink="">
          <xdr:nvSpPr>
            <xdr:cNvPr id="420873" name="Button 9" hidden="1">
              <a:extLst>
                <a:ext uri="{63B3BB69-23CF-44E3-9099-C40C66FF867C}">
                  <a14:compatExt spid="_x0000_s420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638175</xdr:rowOff>
        </xdr:from>
        <xdr:to>
          <xdr:col>1</xdr:col>
          <xdr:colOff>276225</xdr:colOff>
          <xdr:row>14</xdr:row>
          <xdr:rowOff>190500</xdr:rowOff>
        </xdr:to>
        <xdr:sp macro="" textlink="">
          <xdr:nvSpPr>
            <xdr:cNvPr id="420874" name="Button 10" hidden="1">
              <a:extLst>
                <a:ext uri="{63B3BB69-23CF-44E3-9099-C40C66FF867C}">
                  <a14:compatExt spid="_x0000_s420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0</xdr:rowOff>
        </xdr:to>
        <xdr:sp macro="" textlink="">
          <xdr:nvSpPr>
            <xdr:cNvPr id="469003" name="Button 11" hidden="1">
              <a:extLst>
                <a:ext uri="{63B3BB69-23CF-44E3-9099-C40C66FF867C}">
                  <a14:compatExt spid="_x0000_s46900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18</xdr:row>
          <xdr:rowOff>123825</xdr:rowOff>
        </xdr:to>
        <xdr:sp macro="" textlink="">
          <xdr:nvSpPr>
            <xdr:cNvPr id="469004" name="Button 12" hidden="1">
              <a:extLst>
                <a:ext uri="{63B3BB69-23CF-44E3-9099-C40C66FF867C}">
                  <a14:compatExt spid="_x0000_s4690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DistributionWorksheets%202018%20Training%20W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Delgadill\Desktop\RevDist-DistributionWorksheets-PostingVers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Lira\Documents\Distribution%20sheets%20ORIG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May%202015%20Rev%20Dist%20Training%20Spreadsheets%20-%20Participant%20Ver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ourts.ca.gov/documents/fin-rev-dist-May-2015-Revenue-Distribution-Training-Spreadsheets-Participant-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Lira\AppData\Local\Microsoft\Windows\Temporary%20Internet%20Files\Content.Outlook\NULFBU2Z\Top%20Down%20Worksheets%20for%20May%202015%20Trai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RevDist-DistributionWorksheets-"/>
    </sheetNames>
    <definedNames>
      <definedName name="mcrDisableTwoPercentUnprotect"/>
      <definedName name="mcrEnableTwoPercentUnprotec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P11">
            <v>7</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18- 1202.5 (Enhance Base) "/>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2-DUI (Reduce Base)"/>
      <sheetName val="3-RD (Reduce Base)"/>
      <sheetName val="4-RRBF"/>
      <sheetName val="5-RRTS (BF &amp; No 2%)"/>
      <sheetName val="6-RLBF"/>
      <sheetName val="7-RLTS"/>
      <sheetName val="8-RLBF (No 30%)"/>
      <sheetName val="9-SpBF"/>
      <sheetName val="10-SpTS"/>
      <sheetName val="11-CSBF"/>
      <sheetName val="12-CSTS (BF &amp; 2%)"/>
      <sheetName val="13-UC"/>
      <sheetName val="14-POC"/>
      <sheetName val="15-POI (Base Reduce)"/>
      <sheetName val="16-DV"/>
      <sheetName val="17-HS (Enhance Base)"/>
      <sheetName val="18-HS (Enh-Red Base)"/>
      <sheetName val="19-FG"/>
      <sheetName val="Sheet2"/>
      <sheetName val="Distribution sheets ORIGINAL"/>
    </sheetNames>
    <definedNames>
      <definedName name="mcrDisableTwoPercentNonDUI"/>
      <definedName name="mcrDisableTwoPercentUnprotect"/>
      <definedName name="mcrEnableTwoPercentNonDUI"/>
      <definedName name="mcrEnableTwoPercentUnprotect"/>
    </definedNames>
    <sheetDataSet>
      <sheetData sheetId="0">
        <row r="1">
          <cell r="A1" t="str">
            <v>TOP-DOWN   (B-C)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9">
          <cell r="B29">
            <v>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May 2015 Rev Dist Training Spre"/>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row r="13">
          <cell r="B13">
            <v>0</v>
          </cell>
        </row>
      </sheetData>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Sheet1"/>
      <sheetName val="Section"/>
      <sheetName val="Acct Mapping"/>
      <sheetName val="Pmt Plan Tmpl"/>
      <sheetName val="1-DUI (ALT)"/>
      <sheetName val="10-SpTS"/>
      <sheetName val="6-RLBF"/>
      <sheetName val="7-RLTS"/>
      <sheetName val="Top-Down Method 1"/>
      <sheetName val="Top-Down Method 2"/>
      <sheetName val="fin-rev-dist-May-2015-Revenue-D"/>
    </sheetNames>
    <definedNames>
      <definedName name="mcrDisableTwoPercentNonDUI"/>
      <definedName name="mcrEnableTwoPercentNonDUI"/>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9-SpBF (TOP DOWN)"/>
      <sheetName val="9-SpBF (TOP DOWN) (2)"/>
      <sheetName val="Top Down Worksheets for May 201"/>
    </sheetNames>
    <definedNames>
      <definedName name="mcrDisableTwoPercentUnprotect"/>
      <definedName name="mcrEnableTwoPercentUnprotect"/>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omments" Target="../comments5.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drawing" Target="../drawings/drawing5.xml"/><Relationship Id="rId7" Type="http://schemas.openxmlformats.org/officeDocument/2006/relationships/ctrlProp" Target="../ctrlProps/ctrlProp15.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omments" Target="../comments8.xml"/><Relationship Id="rId2" Type="http://schemas.openxmlformats.org/officeDocument/2006/relationships/drawing" Target="../drawings/drawing6.xml"/><Relationship Id="rId1" Type="http://schemas.openxmlformats.org/officeDocument/2006/relationships/printerSettings" Target="../printerSettings/printerSettings20.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21.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8.xml"/><Relationship Id="rId1" Type="http://schemas.openxmlformats.org/officeDocument/2006/relationships/printerSettings" Target="../printerSettings/printerSettings2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9.xml"/><Relationship Id="rId1" Type="http://schemas.openxmlformats.org/officeDocument/2006/relationships/printerSettings" Target="../printerSettings/printerSettings23.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omments" Target="../comments12.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25.bin"/><Relationship Id="rId6" Type="http://schemas.openxmlformats.org/officeDocument/2006/relationships/comments" Target="../comments13.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26.bin"/><Relationship Id="rId6" Type="http://schemas.openxmlformats.org/officeDocument/2006/relationships/comments" Target="../comments1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omments" Target="../comments15.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28.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29.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30.bin"/><Relationship Id="rId6" Type="http://schemas.openxmlformats.org/officeDocument/2006/relationships/ctrlProp" Target="../ctrlProps/ctrlProp44.xml"/><Relationship Id="rId5" Type="http://schemas.openxmlformats.org/officeDocument/2006/relationships/ctrlProp" Target="../ctrlProps/ctrlProp43.xml"/><Relationship Id="rId4" Type="http://schemas.openxmlformats.org/officeDocument/2006/relationships/ctrlProp" Target="../ctrlProps/ctrlProp4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9.xml"/><Relationship Id="rId2" Type="http://schemas.openxmlformats.org/officeDocument/2006/relationships/drawing" Target="../drawings/drawing17.xml"/><Relationship Id="rId1" Type="http://schemas.openxmlformats.org/officeDocument/2006/relationships/printerSettings" Target="../printerSettings/printerSettings31.bin"/><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20.xml"/><Relationship Id="rId2" Type="http://schemas.openxmlformats.org/officeDocument/2006/relationships/drawing" Target="../drawings/drawing18.xml"/><Relationship Id="rId1" Type="http://schemas.openxmlformats.org/officeDocument/2006/relationships/printerSettings" Target="../printerSettings/printerSettings32.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21.vml"/><Relationship Id="rId7" Type="http://schemas.openxmlformats.org/officeDocument/2006/relationships/comments" Target="../comments21.xml"/><Relationship Id="rId2" Type="http://schemas.openxmlformats.org/officeDocument/2006/relationships/drawing" Target="../drawings/drawing19.xml"/><Relationship Id="rId1" Type="http://schemas.openxmlformats.org/officeDocument/2006/relationships/printerSettings" Target="../printerSettings/printerSettings33.bin"/><Relationship Id="rId6" Type="http://schemas.openxmlformats.org/officeDocument/2006/relationships/ctrlProp" Target="../ctrlProps/ctrlProp53.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0.xml"/><Relationship Id="rId1" Type="http://schemas.openxmlformats.org/officeDocument/2006/relationships/printerSettings" Target="../printerSettings/printerSettings34.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23.vml"/><Relationship Id="rId7" Type="http://schemas.openxmlformats.org/officeDocument/2006/relationships/comments" Target="../comments22.xml"/><Relationship Id="rId2" Type="http://schemas.openxmlformats.org/officeDocument/2006/relationships/drawing" Target="../drawings/drawing21.xml"/><Relationship Id="rId1" Type="http://schemas.openxmlformats.org/officeDocument/2006/relationships/printerSettings" Target="../printerSettings/printerSettings3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4.vml"/><Relationship Id="rId7" Type="http://schemas.openxmlformats.org/officeDocument/2006/relationships/comments" Target="../comments23.xml"/><Relationship Id="rId2" Type="http://schemas.openxmlformats.org/officeDocument/2006/relationships/drawing" Target="../drawings/drawing22.xml"/><Relationship Id="rId1" Type="http://schemas.openxmlformats.org/officeDocument/2006/relationships/printerSettings" Target="../printerSettings/printerSettings36.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25.vml"/><Relationship Id="rId7" Type="http://schemas.openxmlformats.org/officeDocument/2006/relationships/comments" Target="../comments24.xml"/><Relationship Id="rId2" Type="http://schemas.openxmlformats.org/officeDocument/2006/relationships/drawing" Target="../drawings/drawing23.xml"/><Relationship Id="rId1" Type="http://schemas.openxmlformats.org/officeDocument/2006/relationships/printerSettings" Target="../printerSettings/printerSettings37.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6.vml"/><Relationship Id="rId7" Type="http://schemas.openxmlformats.org/officeDocument/2006/relationships/comments" Target="../comments25.xml"/><Relationship Id="rId2" Type="http://schemas.openxmlformats.org/officeDocument/2006/relationships/drawing" Target="../drawings/drawing24.xml"/><Relationship Id="rId1" Type="http://schemas.openxmlformats.org/officeDocument/2006/relationships/printerSettings" Target="../printerSettings/printerSettings38.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7.vml"/><Relationship Id="rId7" Type="http://schemas.openxmlformats.org/officeDocument/2006/relationships/comments" Target="../comments26.xml"/><Relationship Id="rId2" Type="http://schemas.openxmlformats.org/officeDocument/2006/relationships/drawing" Target="../drawings/drawing25.xml"/><Relationship Id="rId1" Type="http://schemas.openxmlformats.org/officeDocument/2006/relationships/printerSettings" Target="../printerSettings/printerSettings39.bin"/><Relationship Id="rId6" Type="http://schemas.openxmlformats.org/officeDocument/2006/relationships/ctrlProp" Target="../ctrlProps/ctrlProp71.xml"/><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tabSelected="1" zoomScaleNormal="100" workbookViewId="0">
      <selection activeCell="D6" sqref="D6"/>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111</v>
      </c>
    </row>
    <row r="3" spans="1:2" ht="18" x14ac:dyDescent="0.25">
      <c r="A3" s="1272" t="s">
        <v>569</v>
      </c>
      <c r="B3" s="1272"/>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2.25" thickBot="1" x14ac:dyDescent="0.3">
      <c r="A8" s="798" t="str">
        <f>"GC 76000 Local Penalties for " &amp;B1&amp; " County"</f>
        <v>GC 76000 Local Penalties for Alameda County</v>
      </c>
      <c r="B8" s="802">
        <f>IF(AND(B5="Yes", B6="Yes"), VLOOKUP(B1,A12:B69,2), 7)</f>
        <v>5</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5" spans="1:2" x14ac:dyDescent="0.2">
      <c r="A75" s="803" t="s">
        <v>566</v>
      </c>
    </row>
    <row r="76" spans="1:2" x14ac:dyDescent="0.2">
      <c r="A76" s="803" t="s">
        <v>436</v>
      </c>
    </row>
    <row r="77" spans="1:2" x14ac:dyDescent="0.2">
      <c r="A77" s="803" t="s">
        <v>437</v>
      </c>
    </row>
  </sheetData>
  <mergeCells count="1">
    <mergeCell ref="A3:B3"/>
  </mergeCells>
  <dataValidations count="2">
    <dataValidation type="list" allowBlank="1" showInputMessage="1" showErrorMessage="1" sqref="B5:B6">
      <formula1>$A$76:$A$77</formula1>
    </dataValidation>
    <dataValidation type="list" allowBlank="1" showInputMessage="1" showErrorMessage="1" sqref="B1">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AB54"/>
  <sheetViews>
    <sheetView showGridLines="0" zoomScale="70" zoomScaleNormal="70" zoomScaleSheetLayoutView="70" workbookViewId="0">
      <selection activeCell="U33" sqref="U33"/>
    </sheetView>
  </sheetViews>
  <sheetFormatPr defaultRowHeight="15.75" x14ac:dyDescent="0.2"/>
  <cols>
    <col min="1" max="1" width="4.28515625" style="332" customWidth="1"/>
    <col min="2" max="2" width="6.28515625" style="332" customWidth="1"/>
    <col min="3" max="3" width="13.5703125" style="332" customWidth="1"/>
    <col min="4" max="4" width="12" style="332" customWidth="1"/>
    <col min="5" max="5" width="9.42578125" style="1098" customWidth="1"/>
    <col min="6" max="6" width="46" style="1099" customWidth="1"/>
    <col min="7" max="7" width="16.5703125" style="333" customWidth="1"/>
    <col min="8" max="8" width="29.42578125" style="333" hidden="1" customWidth="1"/>
    <col min="9" max="9" width="13.28515625" style="333" customWidth="1"/>
    <col min="10" max="10" width="14.140625" style="333" hidden="1" customWidth="1"/>
    <col min="11" max="11" width="9.7109375" style="333" customWidth="1"/>
    <col min="12" max="12" width="13.42578125" style="333" customWidth="1"/>
    <col min="13" max="13" width="16.85546875" style="333" customWidth="1"/>
    <col min="14" max="14" width="9.5703125" style="333" customWidth="1"/>
    <col min="15" max="15" width="13.42578125" style="333" bestFit="1" customWidth="1"/>
    <col min="16" max="16" width="6" style="100" bestFit="1" customWidth="1"/>
    <col min="17" max="17" width="10.85546875" style="100" customWidth="1"/>
    <col min="18" max="18" width="6.42578125" style="100" customWidth="1"/>
    <col min="19" max="19" width="10.7109375" style="100" customWidth="1"/>
    <col min="20" max="20" width="1.85546875" style="137" customWidth="1"/>
    <col min="21" max="21" width="12.42578125" style="101" customWidth="1"/>
    <col min="22" max="22" width="5.85546875" style="101" customWidth="1"/>
    <col min="23" max="23" width="18.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s="746" customFormat="1" ht="24.75" customHeight="1" thickBot="1" x14ac:dyDescent="0.25">
      <c r="A1" s="1273" t="s">
        <v>587</v>
      </c>
      <c r="B1" s="1274"/>
      <c r="C1" s="1274"/>
      <c r="D1" s="1274"/>
      <c r="E1" s="1274"/>
      <c r="F1" s="1274"/>
      <c r="G1" s="1274"/>
      <c r="H1" s="1274"/>
      <c r="I1" s="1274"/>
      <c r="J1" s="1274"/>
      <c r="K1" s="1274"/>
      <c r="L1" s="1274"/>
      <c r="M1" s="1275"/>
      <c r="N1" s="1275"/>
      <c r="O1" s="1276"/>
      <c r="P1" s="1206"/>
      <c r="Q1" s="1207"/>
      <c r="R1" s="1207"/>
      <c r="S1" s="1207"/>
      <c r="T1" s="1207"/>
      <c r="U1" s="1207"/>
      <c r="V1" s="1207"/>
      <c r="W1" s="1207"/>
    </row>
    <row r="2" spans="1:28" s="54" customFormat="1" ht="19.5" thickBot="1" x14ac:dyDescent="0.25">
      <c r="A2" s="1058"/>
      <c r="B2" s="1059"/>
      <c r="C2" s="1059"/>
      <c r="D2" s="1059"/>
      <c r="E2" s="1059"/>
      <c r="F2" s="1059"/>
      <c r="G2" s="1059"/>
      <c r="H2" s="1059"/>
      <c r="I2" s="1059"/>
      <c r="J2" s="1059"/>
      <c r="K2" s="1060"/>
      <c r="L2" s="1060"/>
      <c r="M2" s="1060"/>
      <c r="N2" s="1060"/>
      <c r="O2" s="1061"/>
      <c r="P2" s="52"/>
      <c r="Q2" s="52"/>
      <c r="R2" s="52"/>
      <c r="S2" s="52"/>
      <c r="T2" s="52"/>
      <c r="U2" s="52"/>
      <c r="V2" s="52"/>
      <c r="W2" s="52"/>
    </row>
    <row r="3" spans="1:28" s="54" customFormat="1" ht="19.5" thickBot="1" x14ac:dyDescent="0.25">
      <c r="A3" s="1329" t="s">
        <v>234</v>
      </c>
      <c r="B3" s="1330"/>
      <c r="C3" s="1330"/>
      <c r="D3" s="1330"/>
      <c r="E3" s="1330"/>
      <c r="F3" s="1330"/>
      <c r="G3" s="1330"/>
      <c r="H3" s="1330"/>
      <c r="I3" s="1330"/>
      <c r="J3" s="1330"/>
      <c r="K3" s="1330"/>
      <c r="L3" s="1330"/>
      <c r="M3" s="1330"/>
      <c r="N3" s="1330"/>
      <c r="O3" s="1331"/>
      <c r="P3" s="237"/>
    </row>
    <row r="4" spans="1:28" s="57" customFormat="1" x14ac:dyDescent="0.2">
      <c r="A4" s="1332" t="s">
        <v>231</v>
      </c>
      <c r="B4" s="1333"/>
      <c r="C4" s="1334"/>
      <c r="D4" s="1335"/>
      <c r="E4" s="1336"/>
      <c r="F4" s="1300" t="s">
        <v>563</v>
      </c>
      <c r="G4" s="1301"/>
      <c r="H4" s="208"/>
      <c r="I4" s="1302"/>
      <c r="J4" s="1303"/>
      <c r="K4" s="1303"/>
      <c r="L4" s="1303"/>
      <c r="M4" s="1337" t="s">
        <v>257</v>
      </c>
      <c r="N4" s="1334"/>
      <c r="O4" s="209">
        <v>0</v>
      </c>
      <c r="P4" s="238"/>
    </row>
    <row r="5" spans="1:28" s="57" customFormat="1" x14ac:dyDescent="0.2">
      <c r="A5" s="1279" t="s">
        <v>4</v>
      </c>
      <c r="B5" s="1280"/>
      <c r="C5" s="1281"/>
      <c r="D5" s="1289"/>
      <c r="E5" s="1290"/>
      <c r="F5" s="1291" t="s">
        <v>244</v>
      </c>
      <c r="G5" s="1278"/>
      <c r="H5" s="185"/>
      <c r="I5" s="1282"/>
      <c r="J5" s="1292"/>
      <c r="K5" s="1292"/>
      <c r="L5" s="1292"/>
      <c r="M5" s="1277" t="s">
        <v>22</v>
      </c>
      <c r="N5" s="1278"/>
      <c r="O5" s="58">
        <v>0</v>
      </c>
      <c r="P5" s="238"/>
    </row>
    <row r="6" spans="1:28" s="57" customFormat="1" x14ac:dyDescent="0.2">
      <c r="A6" s="2118" t="s">
        <v>12</v>
      </c>
      <c r="B6" s="2119"/>
      <c r="C6" s="2120"/>
      <c r="D6" s="2121"/>
      <c r="E6" s="2122"/>
      <c r="F6" s="2123" t="s">
        <v>20</v>
      </c>
      <c r="G6" s="1955"/>
      <c r="H6" s="241"/>
      <c r="I6" s="1777"/>
      <c r="J6" s="2124"/>
      <c r="K6" s="2124"/>
      <c r="L6" s="2124"/>
      <c r="M6" s="2125" t="s">
        <v>257</v>
      </c>
      <c r="N6" s="1955"/>
      <c r="O6" s="212">
        <f>O4+O5*10</f>
        <v>0</v>
      </c>
      <c r="P6" s="238"/>
    </row>
    <row r="7" spans="1:28" s="57" customFormat="1" ht="16.5" thickBot="1" x14ac:dyDescent="0.25">
      <c r="A7" s="2133" t="s">
        <v>5</v>
      </c>
      <c r="B7" s="2134"/>
      <c r="C7" s="2135"/>
      <c r="D7" s="1286"/>
      <c r="E7" s="1288"/>
      <c r="F7" s="1284" t="s">
        <v>21</v>
      </c>
      <c r="G7" s="1285"/>
      <c r="H7" s="186"/>
      <c r="I7" s="1286"/>
      <c r="J7" s="1287"/>
      <c r="K7" s="1287"/>
      <c r="L7" s="1317"/>
      <c r="M7" s="186"/>
      <c r="N7" s="1000"/>
      <c r="O7" s="1001"/>
      <c r="P7" s="238"/>
    </row>
    <row r="8" spans="1:28" s="57" customFormat="1" ht="15.75" customHeight="1" x14ac:dyDescent="0.2">
      <c r="A8" s="2126" t="s">
        <v>54</v>
      </c>
      <c r="B8" s="2127"/>
      <c r="C8" s="2128"/>
      <c r="D8" s="1396">
        <v>0</v>
      </c>
      <c r="E8" s="1397"/>
      <c r="F8" s="2129" t="s">
        <v>564</v>
      </c>
      <c r="G8" s="2130"/>
      <c r="H8" s="2131"/>
      <c r="I8" s="1673"/>
      <c r="J8" s="1810"/>
      <c r="K8" s="1810"/>
      <c r="L8" s="1810"/>
      <c r="M8" s="2132" t="s">
        <v>257</v>
      </c>
      <c r="N8" s="1687"/>
      <c r="O8" s="209">
        <v>0</v>
      </c>
      <c r="P8" s="239"/>
    </row>
    <row r="9" spans="1:28" s="57" customFormat="1" x14ac:dyDescent="0.2">
      <c r="A9" s="1295" t="s">
        <v>53</v>
      </c>
      <c r="B9" s="1296"/>
      <c r="C9" s="1297"/>
      <c r="D9" s="1305">
        <f>100%-D8</f>
        <v>1</v>
      </c>
      <c r="E9" s="1306"/>
      <c r="F9" s="1291" t="s">
        <v>244</v>
      </c>
      <c r="G9" s="1278"/>
      <c r="H9" s="790"/>
      <c r="I9" s="1282"/>
      <c r="J9" s="1292"/>
      <c r="K9" s="1292"/>
      <c r="L9" s="1292"/>
      <c r="M9" s="1277" t="s">
        <v>22</v>
      </c>
      <c r="N9" s="1278"/>
      <c r="O9" s="58"/>
      <c r="P9" s="239"/>
    </row>
    <row r="10" spans="1:28" s="57" customFormat="1" ht="32.25" customHeight="1" x14ac:dyDescent="0.2">
      <c r="A10" s="1307" t="s">
        <v>276</v>
      </c>
      <c r="B10" s="1308"/>
      <c r="C10" s="1309"/>
      <c r="D10" s="1310">
        <f>O6+O10</f>
        <v>0</v>
      </c>
      <c r="E10" s="1311"/>
      <c r="F10" s="1291" t="s">
        <v>20</v>
      </c>
      <c r="G10" s="1278"/>
      <c r="H10" s="790"/>
      <c r="I10" s="1282"/>
      <c r="J10" s="1292"/>
      <c r="K10" s="1292"/>
      <c r="L10" s="1292"/>
      <c r="M10" s="1277" t="s">
        <v>233</v>
      </c>
      <c r="N10" s="1278"/>
      <c r="O10" s="788">
        <f>O8+O9*10</f>
        <v>0</v>
      </c>
      <c r="P10" s="240"/>
    </row>
    <row r="11" spans="1:28" s="57" customFormat="1" ht="16.5" thickBot="1" x14ac:dyDescent="0.25">
      <c r="A11" s="1312" t="s">
        <v>277</v>
      </c>
      <c r="B11" s="1313"/>
      <c r="C11" s="1314"/>
      <c r="D11" s="1315">
        <f>ROUNDUP(D10/10,0)</f>
        <v>0</v>
      </c>
      <c r="E11" s="1316"/>
      <c r="F11" s="1284" t="s">
        <v>21</v>
      </c>
      <c r="G11" s="1285"/>
      <c r="H11" s="792"/>
      <c r="I11" s="1286"/>
      <c r="J11" s="1287"/>
      <c r="K11" s="1287"/>
      <c r="L11" s="1287"/>
      <c r="M11" s="1318" t="s">
        <v>584</v>
      </c>
      <c r="N11" s="1319"/>
      <c r="O11" s="1153">
        <f>'Local Penalties'!B8</f>
        <v>5</v>
      </c>
      <c r="P11" s="240"/>
    </row>
    <row r="12" spans="1:28" s="57" customFormat="1" ht="16.5" thickBot="1" x14ac:dyDescent="0.25">
      <c r="A12" s="1118"/>
      <c r="B12" s="1119"/>
      <c r="C12" s="1062"/>
      <c r="D12" s="1062"/>
      <c r="E12" s="1062"/>
      <c r="F12" s="66"/>
      <c r="G12" s="59"/>
      <c r="H12" s="60"/>
      <c r="I12" s="61"/>
      <c r="J12" s="61"/>
      <c r="K12" s="61"/>
      <c r="L12" s="61"/>
      <c r="M12" s="813"/>
      <c r="N12" s="813"/>
      <c r="O12" s="818"/>
      <c r="P12" s="56"/>
      <c r="Q12" s="56"/>
      <c r="R12" s="56"/>
      <c r="S12" s="56"/>
      <c r="T12" s="56"/>
      <c r="U12" s="63"/>
      <c r="V12" s="63"/>
      <c r="W12" s="64"/>
      <c r="AA12" s="65"/>
    </row>
    <row r="13" spans="1:28" s="109" customFormat="1" ht="16.5" thickBot="1" x14ac:dyDescent="0.25">
      <c r="A13" s="1063"/>
      <c r="B13" s="1064"/>
      <c r="C13" s="1064"/>
      <c r="D13" s="1064"/>
      <c r="E13" s="1064"/>
      <c r="F13" s="107"/>
      <c r="G13" s="814"/>
      <c r="H13" s="820"/>
      <c r="I13" s="1344" t="s">
        <v>297</v>
      </c>
      <c r="J13" s="1345"/>
      <c r="K13" s="1345"/>
      <c r="L13" s="1346"/>
      <c r="M13" s="1361" t="s">
        <v>582</v>
      </c>
      <c r="N13" s="1362"/>
      <c r="O13" s="1363"/>
      <c r="P13" s="226"/>
      <c r="Q13" s="158"/>
      <c r="R13" s="158"/>
      <c r="S13" s="159"/>
      <c r="T13" s="108"/>
      <c r="U13" s="108"/>
      <c r="V13" s="108"/>
      <c r="W13" s="108"/>
      <c r="X13" s="108"/>
    </row>
    <row r="14" spans="1:28" ht="41.25" customHeight="1" thickBot="1" x14ac:dyDescent="0.25">
      <c r="A14" s="982">
        <v>0.02</v>
      </c>
      <c r="B14" s="982" t="s">
        <v>58</v>
      </c>
      <c r="C14" s="1364" t="s">
        <v>226</v>
      </c>
      <c r="D14" s="1365"/>
      <c r="E14" s="1365"/>
      <c r="F14" s="1366"/>
      <c r="G14" s="1241" t="s">
        <v>249</v>
      </c>
      <c r="H14" s="1154" t="s">
        <v>0</v>
      </c>
      <c r="I14" s="935" t="s">
        <v>298</v>
      </c>
      <c r="J14" s="935" t="s">
        <v>594</v>
      </c>
      <c r="K14" s="1370" t="s">
        <v>6</v>
      </c>
      <c r="L14" s="925" t="s">
        <v>591</v>
      </c>
      <c r="M14" s="1155" t="s">
        <v>428</v>
      </c>
      <c r="N14" s="1365" t="s">
        <v>6</v>
      </c>
      <c r="O14" s="1241" t="s">
        <v>591</v>
      </c>
      <c r="P14" s="228"/>
      <c r="Q14" s="54"/>
      <c r="R14" s="54"/>
      <c r="S14" s="54"/>
      <c r="T14" s="54"/>
      <c r="U14" s="54"/>
      <c r="V14" s="50"/>
      <c r="W14" s="50"/>
      <c r="X14" s="50"/>
      <c r="Y14" s="50"/>
      <c r="Z14" s="50"/>
      <c r="AA14" s="50"/>
      <c r="AB14" s="50"/>
    </row>
    <row r="15" spans="1:28" ht="1.5" customHeight="1" thickBot="1" x14ac:dyDescent="0.25">
      <c r="A15" s="983"/>
      <c r="B15" s="983"/>
      <c r="C15" s="1367"/>
      <c r="D15" s="1368"/>
      <c r="E15" s="1368"/>
      <c r="F15" s="1369"/>
      <c r="G15" s="1065"/>
      <c r="H15" s="1242"/>
      <c r="I15" s="1156"/>
      <c r="J15" s="1157" t="e">
        <f>J35/I35</f>
        <v>#DIV/0!</v>
      </c>
      <c r="K15" s="1371"/>
      <c r="L15" s="2117"/>
      <c r="M15" s="1158" t="e">
        <f>(M35-M31)/(I35-I31)</f>
        <v>#DIV/0!</v>
      </c>
      <c r="N15" s="1368"/>
      <c r="O15" s="959"/>
      <c r="P15" s="228"/>
      <c r="Q15" s="54"/>
      <c r="R15" s="54"/>
      <c r="S15" s="54"/>
      <c r="T15" s="54"/>
      <c r="U15" s="54"/>
      <c r="V15" s="50"/>
      <c r="W15" s="50"/>
      <c r="X15" s="50"/>
      <c r="Y15" s="50"/>
      <c r="Z15" s="50"/>
      <c r="AA15" s="50"/>
      <c r="AB15" s="50"/>
    </row>
    <row r="16" spans="1:28" s="74" customFormat="1" x14ac:dyDescent="0.2">
      <c r="A16" s="1066" t="s">
        <v>8</v>
      </c>
      <c r="B16" s="1320" t="s">
        <v>241</v>
      </c>
      <c r="C16" s="1323" t="s">
        <v>595</v>
      </c>
      <c r="D16" s="1324"/>
      <c r="E16" s="1324"/>
      <c r="F16" s="1325"/>
      <c r="G16" s="1126" t="s">
        <v>32</v>
      </c>
      <c r="H16" s="1159" t="s">
        <v>14</v>
      </c>
      <c r="I16" s="1160">
        <v>0</v>
      </c>
      <c r="J16" s="1137">
        <f>I16</f>
        <v>0</v>
      </c>
      <c r="K16" s="1161">
        <f>IF(A16="Y", I16*2%,0)</f>
        <v>0</v>
      </c>
      <c r="L16" s="1162">
        <f>I16-K16</f>
        <v>0</v>
      </c>
      <c r="M16" s="1163">
        <f>IF($M$49=0,,IF($M$15*$I$16&gt;50,$I$16,$M$15*$I$16))</f>
        <v>0</v>
      </c>
      <c r="N16" s="1164">
        <f>IF(A16="Y", M16*2%,)</f>
        <v>0</v>
      </c>
      <c r="O16" s="1165">
        <f>M16-N16</f>
        <v>0</v>
      </c>
      <c r="P16" s="937"/>
      <c r="Q16" s="125"/>
      <c r="R16" s="125"/>
      <c r="S16" s="125"/>
      <c r="T16" s="125"/>
      <c r="U16" s="125"/>
    </row>
    <row r="17" spans="1:21" s="74" customFormat="1" x14ac:dyDescent="0.2">
      <c r="A17" s="1066" t="s">
        <v>8</v>
      </c>
      <c r="B17" s="1321"/>
      <c r="C17" s="1372" t="s">
        <v>596</v>
      </c>
      <c r="D17" s="1373"/>
      <c r="E17" s="1373"/>
      <c r="F17" s="1374"/>
      <c r="G17" s="1134" t="s">
        <v>32</v>
      </c>
      <c r="H17" s="1166" t="s">
        <v>14</v>
      </c>
      <c r="I17" s="1167">
        <v>0</v>
      </c>
      <c r="J17" s="1168">
        <f>I17</f>
        <v>0</v>
      </c>
      <c r="K17" s="1161">
        <f t="shared" ref="K17:K44" si="0">IF(A17="Y", I17*2%,0)</f>
        <v>0</v>
      </c>
      <c r="L17" s="1169">
        <f t="shared" ref="L17:L46" si="1">I17-K17</f>
        <v>0</v>
      </c>
      <c r="M17" s="1139">
        <f>IF($M$49=0,,IF($M$15*$I$17&gt;50,$I$17,$M$15*$I$17))</f>
        <v>0</v>
      </c>
      <c r="N17" s="1164">
        <f>IF(A17="Y", M17*2%,)</f>
        <v>0</v>
      </c>
      <c r="O17" s="1071">
        <f>M17-N17</f>
        <v>0</v>
      </c>
      <c r="P17" s="937"/>
      <c r="Q17" s="125"/>
      <c r="R17" s="125"/>
      <c r="S17" s="125"/>
      <c r="T17" s="125"/>
      <c r="U17" s="125"/>
    </row>
    <row r="18" spans="1:21" s="74" customFormat="1" x14ac:dyDescent="0.2">
      <c r="A18" s="1066" t="s">
        <v>8</v>
      </c>
      <c r="B18" s="1321"/>
      <c r="C18" s="1372" t="s">
        <v>597</v>
      </c>
      <c r="D18" s="1373"/>
      <c r="E18" s="1373"/>
      <c r="F18" s="1374"/>
      <c r="G18" s="1134" t="s">
        <v>31</v>
      </c>
      <c r="H18" s="1166" t="s">
        <v>51</v>
      </c>
      <c r="I18" s="1167">
        <v>0</v>
      </c>
      <c r="J18" s="1168">
        <f>I18</f>
        <v>0</v>
      </c>
      <c r="K18" s="1161">
        <f t="shared" si="0"/>
        <v>0</v>
      </c>
      <c r="L18" s="1169">
        <f t="shared" si="1"/>
        <v>0</v>
      </c>
      <c r="M18" s="1139">
        <f>IF($M$49=0,,IF($M$15*$I$18&gt;20,$I$18,$M$15*$I$18))</f>
        <v>0</v>
      </c>
      <c r="N18" s="1164">
        <f>IF(A18="Y", M18*2%,)</f>
        <v>0</v>
      </c>
      <c r="O18" s="1071">
        <f t="shared" ref="O18:O46" si="2">M18-N18</f>
        <v>0</v>
      </c>
      <c r="P18" s="937"/>
      <c r="Q18" s="125"/>
      <c r="R18" s="125"/>
      <c r="S18" s="125"/>
      <c r="T18" s="125"/>
      <c r="U18" s="125"/>
    </row>
    <row r="19" spans="1:21" s="74" customFormat="1" x14ac:dyDescent="0.2">
      <c r="A19" s="1066" t="s">
        <v>8</v>
      </c>
      <c r="B19" s="1321"/>
      <c r="C19" s="1326" t="s">
        <v>212</v>
      </c>
      <c r="D19" s="1327"/>
      <c r="E19" s="1327"/>
      <c r="F19" s="1328"/>
      <c r="G19" s="1072" t="s">
        <v>32</v>
      </c>
      <c r="H19" s="1170" t="s">
        <v>27</v>
      </c>
      <c r="I19" s="1074">
        <f>(D10-SUM(I16:I18))*D8</f>
        <v>0</v>
      </c>
      <c r="J19" s="1074" t="e">
        <f>((SUM(I16:I20)*J15)-SUM(J16:J18))*D8</f>
        <v>#DIV/0!</v>
      </c>
      <c r="K19" s="1070">
        <f t="shared" si="0"/>
        <v>0</v>
      </c>
      <c r="L19" s="1171">
        <f t="shared" si="1"/>
        <v>0</v>
      </c>
      <c r="M19" s="1139">
        <f>IF($M$49=0,,(($M$15*$D$10)-SUM($M$16:$M$18))*D8)</f>
        <v>0</v>
      </c>
      <c r="N19" s="1164">
        <f>IF(A19="Y", M19*2%,)</f>
        <v>0</v>
      </c>
      <c r="O19" s="1071">
        <f t="shared" si="2"/>
        <v>0</v>
      </c>
      <c r="P19" s="937"/>
      <c r="Q19" s="125"/>
      <c r="R19" s="125"/>
      <c r="S19" s="125"/>
      <c r="T19" s="125"/>
      <c r="U19" s="125"/>
    </row>
    <row r="20" spans="1:21" s="74" customFormat="1" x14ac:dyDescent="0.2">
      <c r="A20" s="1066" t="s">
        <v>8</v>
      </c>
      <c r="B20" s="1322"/>
      <c r="C20" s="1326" t="s">
        <v>213</v>
      </c>
      <c r="D20" s="1327"/>
      <c r="E20" s="1327"/>
      <c r="F20" s="1328"/>
      <c r="G20" s="1072" t="s">
        <v>52</v>
      </c>
      <c r="H20" s="1170" t="s">
        <v>25</v>
      </c>
      <c r="I20" s="1074">
        <f>(D10-SUM(I16:I18))*D9</f>
        <v>0</v>
      </c>
      <c r="J20" s="1074" t="e">
        <f>((SUM(I16:I20)*J15)-SUM(J16:J18))*D9</f>
        <v>#DIV/0!</v>
      </c>
      <c r="K20" s="1070">
        <f t="shared" si="0"/>
        <v>0</v>
      </c>
      <c r="L20" s="1171">
        <f t="shared" si="1"/>
        <v>0</v>
      </c>
      <c r="M20" s="1139">
        <f>IF($M$49=0,,(($M$15*$D$10)-SUM($M$16:$M$18))*D9)</f>
        <v>0</v>
      </c>
      <c r="N20" s="1164">
        <f>IF(A20="Y", M20*2%,)</f>
        <v>0</v>
      </c>
      <c r="O20" s="1071">
        <f t="shared" si="2"/>
        <v>0</v>
      </c>
      <c r="P20" s="937"/>
      <c r="Q20" s="125"/>
      <c r="R20" s="125"/>
      <c r="S20" s="125"/>
      <c r="T20" s="125"/>
      <c r="U20" s="125"/>
    </row>
    <row r="21" spans="1:21" s="74" customFormat="1" x14ac:dyDescent="0.2">
      <c r="A21" s="1066" t="s">
        <v>8</v>
      </c>
      <c r="B21" s="1075">
        <v>7</v>
      </c>
      <c r="C21" s="1326" t="s">
        <v>546</v>
      </c>
      <c r="D21" s="1327"/>
      <c r="E21" s="1327"/>
      <c r="F21" s="1328"/>
      <c r="G21" s="1072" t="s">
        <v>31</v>
      </c>
      <c r="H21" s="1170" t="s">
        <v>26</v>
      </c>
      <c r="I21" s="1074">
        <f>$D$11*B21</f>
        <v>0</v>
      </c>
      <c r="J21" s="1074" t="e">
        <f>$J$15*I21</f>
        <v>#DIV/0!</v>
      </c>
      <c r="K21" s="1070">
        <f t="shared" si="0"/>
        <v>0</v>
      </c>
      <c r="L21" s="1171">
        <f t="shared" si="1"/>
        <v>0</v>
      </c>
      <c r="M21" s="1139">
        <f>IF($M$49=0,,$M$15*I21)</f>
        <v>0</v>
      </c>
      <c r="N21" s="1164">
        <f>IF(A21="Y", M21*2%,)</f>
        <v>0</v>
      </c>
      <c r="O21" s="1071">
        <f t="shared" si="2"/>
        <v>0</v>
      </c>
      <c r="P21" s="937"/>
      <c r="Q21" s="125"/>
      <c r="S21" s="125"/>
      <c r="T21" s="125"/>
      <c r="U21" s="125"/>
    </row>
    <row r="22" spans="1:21" s="74" customFormat="1" x14ac:dyDescent="0.2">
      <c r="A22" s="1066" t="s">
        <v>8</v>
      </c>
      <c r="B22" s="1075">
        <v>3</v>
      </c>
      <c r="C22" s="1326" t="s">
        <v>547</v>
      </c>
      <c r="D22" s="1327"/>
      <c r="E22" s="1327"/>
      <c r="F22" s="1328"/>
      <c r="G22" s="1072" t="s">
        <v>32</v>
      </c>
      <c r="H22" s="1170" t="s">
        <v>27</v>
      </c>
      <c r="I22" s="1074">
        <f t="shared" ref="I22:I33" si="3">$D$11*B22</f>
        <v>0</v>
      </c>
      <c r="J22" s="1074" t="e">
        <f t="shared" ref="J22:J34" si="4">$J$15*I22</f>
        <v>#DIV/0!</v>
      </c>
      <c r="K22" s="1070">
        <f t="shared" si="0"/>
        <v>0</v>
      </c>
      <c r="L22" s="1171">
        <f t="shared" si="1"/>
        <v>0</v>
      </c>
      <c r="M22" s="1139">
        <f>IF($M$49=0,,$M$15*I22)</f>
        <v>0</v>
      </c>
      <c r="N22" s="1164">
        <f>IF(A22="Y", M22*2%,)</f>
        <v>0</v>
      </c>
      <c r="O22" s="1071">
        <f t="shared" si="2"/>
        <v>0</v>
      </c>
      <c r="P22" s="937"/>
      <c r="Q22" s="125"/>
      <c r="R22" s="125"/>
      <c r="S22" s="125"/>
      <c r="T22" s="125"/>
      <c r="U22" s="125"/>
    </row>
    <row r="23" spans="1:21" s="74" customFormat="1" ht="15" customHeight="1" x14ac:dyDescent="0.2">
      <c r="A23" s="1066" t="s">
        <v>8</v>
      </c>
      <c r="B23" s="1075">
        <v>1</v>
      </c>
      <c r="C23" s="1326" t="s">
        <v>216</v>
      </c>
      <c r="D23" s="1327"/>
      <c r="E23" s="1327"/>
      <c r="F23" s="1328"/>
      <c r="G23" s="1072" t="s">
        <v>32</v>
      </c>
      <c r="H23" s="1170" t="s">
        <v>55</v>
      </c>
      <c r="I23" s="1074">
        <f t="shared" si="3"/>
        <v>0</v>
      </c>
      <c r="J23" s="1074" t="e">
        <f t="shared" si="4"/>
        <v>#DIV/0!</v>
      </c>
      <c r="K23" s="1070">
        <f t="shared" si="0"/>
        <v>0</v>
      </c>
      <c r="L23" s="1171">
        <f t="shared" si="1"/>
        <v>0</v>
      </c>
      <c r="M23" s="1139">
        <f>IF($M$49=0,,$M$15*I23)</f>
        <v>0</v>
      </c>
      <c r="N23" s="1164">
        <f>IF(A23="Y", M23*2%,)</f>
        <v>0</v>
      </c>
      <c r="O23" s="1071">
        <f t="shared" si="2"/>
        <v>0</v>
      </c>
      <c r="P23" s="937"/>
      <c r="Q23" s="125"/>
      <c r="R23" s="125"/>
      <c r="S23" s="125"/>
      <c r="T23" s="125"/>
      <c r="U23" s="125"/>
    </row>
    <row r="24" spans="1:21" s="74" customFormat="1" ht="31.5" x14ac:dyDescent="0.2">
      <c r="A24" s="1066" t="s">
        <v>8</v>
      </c>
      <c r="B24" s="1075">
        <v>4</v>
      </c>
      <c r="C24" s="1326" t="s">
        <v>466</v>
      </c>
      <c r="D24" s="1327"/>
      <c r="E24" s="1327"/>
      <c r="F24" s="1328"/>
      <c r="G24" s="1072" t="s">
        <v>31</v>
      </c>
      <c r="H24" s="1170" t="s">
        <v>72</v>
      </c>
      <c r="I24" s="1074">
        <f t="shared" si="3"/>
        <v>0</v>
      </c>
      <c r="J24" s="1074" t="e">
        <f t="shared" si="4"/>
        <v>#DIV/0!</v>
      </c>
      <c r="K24" s="1070">
        <f t="shared" si="0"/>
        <v>0</v>
      </c>
      <c r="L24" s="1171">
        <f t="shared" si="1"/>
        <v>0</v>
      </c>
      <c r="M24" s="1139">
        <f>IF($M$49=0,,$M$15*I24)</f>
        <v>0</v>
      </c>
      <c r="N24" s="1164">
        <f>IF(A24="Y", M24*2%,)</f>
        <v>0</v>
      </c>
      <c r="O24" s="1071">
        <f t="shared" si="2"/>
        <v>0</v>
      </c>
      <c r="P24" s="937"/>
      <c r="Q24" s="125"/>
      <c r="R24" s="125"/>
      <c r="S24" s="125"/>
      <c r="T24" s="125"/>
      <c r="U24" s="125"/>
    </row>
    <row r="25" spans="1:21" s="74" customFormat="1" ht="15" customHeight="1" x14ac:dyDescent="0.2">
      <c r="A25" s="1066" t="s">
        <v>8</v>
      </c>
      <c r="B25" s="1172">
        <v>0</v>
      </c>
      <c r="C25" s="1326" t="s">
        <v>217</v>
      </c>
      <c r="D25" s="1328"/>
      <c r="E25" s="1347" t="str">
        <f>IF(SUM(B25:B29)=O11,"GC 76000 PA ($" &amp;O11 &amp; " for every 10) breakdown = local Board of Supervisor resolution (BOS).","ERROR! GC 76000 PA total is not $" &amp;O11&amp; ". Check local Board of Supervisor resolution.")</f>
        <v>ERROR! GC 76000 PA total is not $5. Check local Board of Supervisor resolution.</v>
      </c>
      <c r="F25" s="1348"/>
      <c r="G25" s="1072" t="s">
        <v>32</v>
      </c>
      <c r="H25" s="1170" t="s">
        <v>64</v>
      </c>
      <c r="I25" s="1074">
        <f t="shared" si="3"/>
        <v>0</v>
      </c>
      <c r="J25" s="1074" t="e">
        <f t="shared" si="4"/>
        <v>#DIV/0!</v>
      </c>
      <c r="K25" s="1070">
        <f t="shared" si="0"/>
        <v>0</v>
      </c>
      <c r="L25" s="1171">
        <f t="shared" si="1"/>
        <v>0</v>
      </c>
      <c r="M25" s="1139">
        <f>IF($M$49=0,,$M$15*I25)</f>
        <v>0</v>
      </c>
      <c r="N25" s="1164">
        <f>IF(A25="Y", M25*2%,)</f>
        <v>0</v>
      </c>
      <c r="O25" s="1071">
        <f t="shared" si="2"/>
        <v>0</v>
      </c>
      <c r="P25" s="937"/>
      <c r="Q25" s="125"/>
      <c r="R25" s="125"/>
      <c r="S25" s="125"/>
      <c r="T25" s="125"/>
      <c r="U25" s="125"/>
    </row>
    <row r="26" spans="1:21" s="74" customFormat="1" ht="15" customHeight="1" x14ac:dyDescent="0.2">
      <c r="A26" s="1066" t="s">
        <v>8</v>
      </c>
      <c r="B26" s="1172">
        <v>0</v>
      </c>
      <c r="C26" s="1326" t="s">
        <v>218</v>
      </c>
      <c r="D26" s="1328"/>
      <c r="E26" s="1349"/>
      <c r="F26" s="1350"/>
      <c r="G26" s="1072" t="s">
        <v>32</v>
      </c>
      <c r="H26" s="1170" t="s">
        <v>35</v>
      </c>
      <c r="I26" s="1074">
        <f t="shared" si="3"/>
        <v>0</v>
      </c>
      <c r="J26" s="1074" t="e">
        <f t="shared" si="4"/>
        <v>#DIV/0!</v>
      </c>
      <c r="K26" s="1070">
        <f t="shared" si="0"/>
        <v>0</v>
      </c>
      <c r="L26" s="1171">
        <f t="shared" si="1"/>
        <v>0</v>
      </c>
      <c r="M26" s="1139">
        <f>IF($M$49=0,,$M$15*I26)</f>
        <v>0</v>
      </c>
      <c r="N26" s="1164">
        <f>IF(A26="Y", M26*2%,)</f>
        <v>0</v>
      </c>
      <c r="O26" s="1071">
        <f t="shared" si="2"/>
        <v>0</v>
      </c>
      <c r="P26" s="937"/>
      <c r="Q26" s="125"/>
      <c r="R26" s="125"/>
      <c r="S26" s="125"/>
      <c r="T26" s="125"/>
      <c r="U26" s="125"/>
    </row>
    <row r="27" spans="1:21" s="74" customFormat="1" ht="15" customHeight="1" x14ac:dyDescent="0.2">
      <c r="A27" s="1066" t="s">
        <v>8</v>
      </c>
      <c r="B27" s="1172">
        <v>0</v>
      </c>
      <c r="C27" s="1326" t="s">
        <v>219</v>
      </c>
      <c r="D27" s="1328"/>
      <c r="E27" s="1349"/>
      <c r="F27" s="1350"/>
      <c r="G27" s="1072" t="s">
        <v>32</v>
      </c>
      <c r="H27" s="1170" t="s">
        <v>65</v>
      </c>
      <c r="I27" s="1074">
        <f t="shared" si="3"/>
        <v>0</v>
      </c>
      <c r="J27" s="1074" t="e">
        <f t="shared" si="4"/>
        <v>#DIV/0!</v>
      </c>
      <c r="K27" s="1070">
        <f t="shared" si="0"/>
        <v>0</v>
      </c>
      <c r="L27" s="1171">
        <f t="shared" si="1"/>
        <v>0</v>
      </c>
      <c r="M27" s="1139">
        <f>IF($M$49=0,,$M$15*I27)</f>
        <v>0</v>
      </c>
      <c r="N27" s="1164">
        <f>IF(A27="Y", M27*2%,)</f>
        <v>0</v>
      </c>
      <c r="O27" s="1071">
        <f t="shared" si="2"/>
        <v>0</v>
      </c>
      <c r="P27" s="937"/>
      <c r="Q27" s="125"/>
      <c r="R27" s="125"/>
      <c r="S27" s="125"/>
      <c r="T27" s="125"/>
      <c r="U27" s="125"/>
    </row>
    <row r="28" spans="1:21" s="74" customFormat="1" ht="15" customHeight="1" x14ac:dyDescent="0.2">
      <c r="A28" s="1066" t="s">
        <v>8</v>
      </c>
      <c r="B28" s="1172">
        <v>0</v>
      </c>
      <c r="C28" s="1326" t="s">
        <v>401</v>
      </c>
      <c r="D28" s="1328"/>
      <c r="E28" s="1349"/>
      <c r="F28" s="1350"/>
      <c r="G28" s="1072" t="s">
        <v>32</v>
      </c>
      <c r="H28" s="1170" t="s">
        <v>65</v>
      </c>
      <c r="I28" s="1074">
        <f>$D$11*B28</f>
        <v>0</v>
      </c>
      <c r="J28" s="1074" t="e">
        <f>$J$15*I28</f>
        <v>#DIV/0!</v>
      </c>
      <c r="K28" s="1070">
        <f>IF(A28="Y", I28*2%,0)</f>
        <v>0</v>
      </c>
      <c r="L28" s="1171">
        <f>I28-K28</f>
        <v>0</v>
      </c>
      <c r="M28" s="1139">
        <f>IF($M$49=0,,$M$15*I28)</f>
        <v>0</v>
      </c>
      <c r="N28" s="1164">
        <f>IF(A28="Y", M28*2%,)</f>
        <v>0</v>
      </c>
      <c r="O28" s="1071">
        <f t="shared" si="2"/>
        <v>0</v>
      </c>
      <c r="P28" s="937"/>
      <c r="Q28" s="125"/>
      <c r="R28" s="125"/>
      <c r="S28" s="125"/>
      <c r="T28" s="125"/>
      <c r="U28" s="125"/>
    </row>
    <row r="29" spans="1:21" s="74" customFormat="1" ht="15" customHeight="1" x14ac:dyDescent="0.2">
      <c r="A29" s="1066" t="s">
        <v>8</v>
      </c>
      <c r="B29" s="1172">
        <v>0</v>
      </c>
      <c r="C29" s="1326" t="s">
        <v>254</v>
      </c>
      <c r="D29" s="1328"/>
      <c r="E29" s="1351"/>
      <c r="F29" s="1352"/>
      <c r="G29" s="1072" t="s">
        <v>32</v>
      </c>
      <c r="H29" s="1170"/>
      <c r="I29" s="1074">
        <f t="shared" si="3"/>
        <v>0</v>
      </c>
      <c r="J29" s="1074" t="e">
        <f t="shared" si="4"/>
        <v>#DIV/0!</v>
      </c>
      <c r="K29" s="1070">
        <f t="shared" si="0"/>
        <v>0</v>
      </c>
      <c r="L29" s="1171">
        <f t="shared" si="1"/>
        <v>0</v>
      </c>
      <c r="M29" s="1139">
        <f>IF($M$49=0,,$M$15*I29)</f>
        <v>0</v>
      </c>
      <c r="N29" s="1164">
        <f>IF(A29="Y", M29*2%,)</f>
        <v>0</v>
      </c>
      <c r="O29" s="1071">
        <f t="shared" si="2"/>
        <v>0</v>
      </c>
      <c r="P29" s="937"/>
      <c r="Q29" s="125"/>
      <c r="R29" s="125"/>
      <c r="S29" s="125"/>
      <c r="T29" s="125"/>
      <c r="U29" s="125"/>
    </row>
    <row r="30" spans="1:21" s="85" customFormat="1" x14ac:dyDescent="0.2">
      <c r="A30" s="1066" t="s">
        <v>8</v>
      </c>
      <c r="B30" s="1172">
        <v>0</v>
      </c>
      <c r="C30" s="1353" t="s">
        <v>286</v>
      </c>
      <c r="D30" s="1354"/>
      <c r="E30" s="1354"/>
      <c r="F30" s="1355"/>
      <c r="G30" s="1077" t="s">
        <v>32</v>
      </c>
      <c r="H30" s="1173" t="s">
        <v>36</v>
      </c>
      <c r="I30" s="1074">
        <f t="shared" si="3"/>
        <v>0</v>
      </c>
      <c r="J30" s="1074" t="e">
        <f t="shared" si="4"/>
        <v>#DIV/0!</v>
      </c>
      <c r="K30" s="1070">
        <f t="shared" si="0"/>
        <v>0</v>
      </c>
      <c r="L30" s="1171">
        <f t="shared" si="1"/>
        <v>0</v>
      </c>
      <c r="M30" s="1139">
        <f>IF($M$49=0,,$M$15*I30)</f>
        <v>0</v>
      </c>
      <c r="N30" s="1164">
        <f>IF(A30="Y", M30*2%,)</f>
        <v>0</v>
      </c>
      <c r="O30" s="1071">
        <f t="shared" si="2"/>
        <v>0</v>
      </c>
      <c r="P30" s="937"/>
      <c r="Q30" s="127"/>
      <c r="R30" s="127"/>
      <c r="S30" s="127"/>
      <c r="T30" s="127"/>
      <c r="U30" s="127"/>
    </row>
    <row r="31" spans="1:21" s="90" customFormat="1" ht="15" customHeight="1" x14ac:dyDescent="0.2">
      <c r="A31" s="1066" t="s">
        <v>8</v>
      </c>
      <c r="B31" s="1081"/>
      <c r="C31" s="1353" t="s">
        <v>385</v>
      </c>
      <c r="D31" s="1354"/>
      <c r="E31" s="1354"/>
      <c r="F31" s="1355"/>
      <c r="G31" s="1077" t="s">
        <v>31</v>
      </c>
      <c r="H31" s="1174"/>
      <c r="I31" s="2160">
        <v>0</v>
      </c>
      <c r="J31" s="1074" t="e">
        <f>$J$15*I31</f>
        <v>#DIV/0!</v>
      </c>
      <c r="K31" s="1070">
        <f>IF(A31="Y", I31*2%,0)</f>
        <v>0</v>
      </c>
      <c r="L31" s="1171">
        <f>I31-K31</f>
        <v>0</v>
      </c>
      <c r="M31" s="1139">
        <f>IF($M$49=0,,$M$15*I31)</f>
        <v>0</v>
      </c>
      <c r="N31" s="1164">
        <f>IF(A31="Y", M31*2%,)</f>
        <v>0</v>
      </c>
      <c r="O31" s="1071">
        <f>M31-N31</f>
        <v>0</v>
      </c>
      <c r="P31" s="937"/>
      <c r="Q31" s="143"/>
      <c r="R31" s="143"/>
      <c r="S31" s="143"/>
      <c r="T31" s="143"/>
      <c r="U31" s="143"/>
    </row>
    <row r="32" spans="1:21" s="74" customFormat="1" ht="15" customHeight="1" x14ac:dyDescent="0.2">
      <c r="A32" s="1066" t="s">
        <v>8</v>
      </c>
      <c r="B32" s="1076">
        <v>0</v>
      </c>
      <c r="C32" s="1353" t="s">
        <v>555</v>
      </c>
      <c r="D32" s="1354"/>
      <c r="E32" s="1355"/>
      <c r="F32" s="1356" t="s">
        <v>281</v>
      </c>
      <c r="G32" s="1077" t="s">
        <v>31</v>
      </c>
      <c r="H32" s="1173" t="s">
        <v>37</v>
      </c>
      <c r="I32" s="1074">
        <f t="shared" si="3"/>
        <v>0</v>
      </c>
      <c r="J32" s="1074" t="e">
        <f t="shared" si="4"/>
        <v>#DIV/0!</v>
      </c>
      <c r="K32" s="1070">
        <f t="shared" si="0"/>
        <v>0</v>
      </c>
      <c r="L32" s="1171">
        <f t="shared" si="1"/>
        <v>0</v>
      </c>
      <c r="M32" s="1139">
        <f>IF($M$49=0,,$M$15*I32)</f>
        <v>0</v>
      </c>
      <c r="N32" s="1164">
        <f>IF(A32="Y", M32*2%,)</f>
        <v>0</v>
      </c>
      <c r="O32" s="1071">
        <f t="shared" si="2"/>
        <v>0</v>
      </c>
      <c r="P32" s="937"/>
      <c r="Q32" s="125"/>
      <c r="R32" s="125"/>
      <c r="S32" s="125"/>
      <c r="T32" s="125"/>
      <c r="U32" s="125"/>
    </row>
    <row r="33" spans="1:21" s="74" customFormat="1" ht="15" customHeight="1" x14ac:dyDescent="0.2">
      <c r="A33" s="1066" t="s">
        <v>8</v>
      </c>
      <c r="B33" s="1080">
        <f>5-B32</f>
        <v>5</v>
      </c>
      <c r="C33" s="1353" t="s">
        <v>556</v>
      </c>
      <c r="D33" s="1354"/>
      <c r="E33" s="1355"/>
      <c r="F33" s="1357"/>
      <c r="G33" s="1176" t="s">
        <v>31</v>
      </c>
      <c r="H33" s="1173" t="s">
        <v>197</v>
      </c>
      <c r="I33" s="1074">
        <f t="shared" si="3"/>
        <v>0</v>
      </c>
      <c r="J33" s="1074" t="e">
        <f t="shared" si="4"/>
        <v>#DIV/0!</v>
      </c>
      <c r="K33" s="1070">
        <f t="shared" si="0"/>
        <v>0</v>
      </c>
      <c r="L33" s="1171">
        <f t="shared" si="1"/>
        <v>0</v>
      </c>
      <c r="M33" s="1139">
        <f>IF($M$49=0,,$M$15*I33)</f>
        <v>0</v>
      </c>
      <c r="N33" s="1164">
        <f>IF(A33="Y", M33*2%,)</f>
        <v>0</v>
      </c>
      <c r="O33" s="1071">
        <f t="shared" si="2"/>
        <v>0</v>
      </c>
      <c r="P33" s="937"/>
      <c r="Q33" s="125"/>
      <c r="R33" s="125"/>
      <c r="S33" s="125"/>
      <c r="T33" s="125"/>
      <c r="U33" s="125"/>
    </row>
    <row r="34" spans="1:21" s="85" customFormat="1" x14ac:dyDescent="0.2">
      <c r="A34" s="1066" t="s">
        <v>7</v>
      </c>
      <c r="B34" s="1075"/>
      <c r="C34" s="1353" t="s">
        <v>220</v>
      </c>
      <c r="D34" s="1354"/>
      <c r="E34" s="1354"/>
      <c r="F34" s="1355"/>
      <c r="G34" s="1077" t="s">
        <v>31</v>
      </c>
      <c r="H34" s="1173" t="s">
        <v>10</v>
      </c>
      <c r="I34" s="1074">
        <f>$D$10*20%</f>
        <v>0</v>
      </c>
      <c r="J34" s="1074" t="e">
        <f t="shared" si="4"/>
        <v>#DIV/0!</v>
      </c>
      <c r="K34" s="1070">
        <f t="shared" si="0"/>
        <v>0</v>
      </c>
      <c r="L34" s="1171">
        <f t="shared" si="1"/>
        <v>0</v>
      </c>
      <c r="M34" s="1139">
        <f>IF($M$49=0,,$M$15*I34)</f>
        <v>0</v>
      </c>
      <c r="N34" s="1164">
        <f>IF(A34="Y", M34*2%,)</f>
        <v>0</v>
      </c>
      <c r="O34" s="1071">
        <f t="shared" si="2"/>
        <v>0</v>
      </c>
      <c r="P34" s="937"/>
      <c r="Q34" s="127"/>
      <c r="R34" s="127"/>
      <c r="S34" s="127"/>
      <c r="T34" s="127"/>
      <c r="U34" s="127"/>
    </row>
    <row r="35" spans="1:21" s="90" customFormat="1" x14ac:dyDescent="0.2">
      <c r="A35" s="1066"/>
      <c r="B35" s="1081"/>
      <c r="C35" s="1358" t="s">
        <v>221</v>
      </c>
      <c r="D35" s="1359"/>
      <c r="E35" s="1359"/>
      <c r="F35" s="1360"/>
      <c r="G35" s="1082"/>
      <c r="H35" s="1174"/>
      <c r="I35" s="1084">
        <f>SUM(I16:I34)</f>
        <v>0</v>
      </c>
      <c r="J35" s="1084">
        <f>J49-SUM(J36:J45)</f>
        <v>1940</v>
      </c>
      <c r="K35" s="1070"/>
      <c r="L35" s="1177">
        <f>SUM(L16:L34)</f>
        <v>0</v>
      </c>
      <c r="M35" s="1141">
        <f>IF($M$49=0,,M49-SUM(M36:M45))</f>
        <v>0</v>
      </c>
      <c r="N35" s="1164"/>
      <c r="O35" s="1085">
        <f>SUM(O16:O34)</f>
        <v>0</v>
      </c>
      <c r="P35" s="938"/>
      <c r="Q35" s="143"/>
      <c r="R35" s="143"/>
      <c r="S35" s="143"/>
      <c r="T35" s="143"/>
      <c r="U35" s="143"/>
    </row>
    <row r="36" spans="1:21" s="85" customFormat="1" x14ac:dyDescent="0.2">
      <c r="A36" s="1066" t="s">
        <v>7</v>
      </c>
      <c r="B36" s="1075"/>
      <c r="C36" s="1353" t="s">
        <v>419</v>
      </c>
      <c r="D36" s="1354"/>
      <c r="E36" s="1354"/>
      <c r="F36" s="1355"/>
      <c r="G36" s="1077" t="s">
        <v>31</v>
      </c>
      <c r="H36" s="1178" t="s">
        <v>39</v>
      </c>
      <c r="I36" s="2160">
        <v>0</v>
      </c>
      <c r="J36" s="1074">
        <f>I36</f>
        <v>0</v>
      </c>
      <c r="K36" s="1070">
        <f t="shared" si="0"/>
        <v>0</v>
      </c>
      <c r="L36" s="1171">
        <f t="shared" si="1"/>
        <v>0</v>
      </c>
      <c r="M36" s="1139">
        <f>IF($M$49=0,,I36)</f>
        <v>0</v>
      </c>
      <c r="N36" s="1164">
        <f>IF(A36="Y", M36*2%,)</f>
        <v>0</v>
      </c>
      <c r="O36" s="1071">
        <f t="shared" si="2"/>
        <v>0</v>
      </c>
      <c r="P36" s="937"/>
      <c r="Q36" s="127"/>
      <c r="R36" s="127"/>
      <c r="S36" s="127"/>
      <c r="T36" s="127"/>
      <c r="U36" s="127"/>
    </row>
    <row r="37" spans="1:21" s="85" customFormat="1" x14ac:dyDescent="0.2">
      <c r="A37" s="1066" t="s">
        <v>7</v>
      </c>
      <c r="B37" s="1075"/>
      <c r="C37" s="1341" t="s">
        <v>259</v>
      </c>
      <c r="D37" s="1342"/>
      <c r="E37" s="1342"/>
      <c r="F37" s="1343"/>
      <c r="G37" s="1086" t="s">
        <v>31</v>
      </c>
      <c r="H37" s="1179" t="s">
        <v>197</v>
      </c>
      <c r="I37" s="2160">
        <v>0</v>
      </c>
      <c r="J37" s="1074">
        <f t="shared" ref="J37:J45" si="5">I37</f>
        <v>0</v>
      </c>
      <c r="K37" s="1070">
        <f t="shared" si="0"/>
        <v>0</v>
      </c>
      <c r="L37" s="1171">
        <f t="shared" si="1"/>
        <v>0</v>
      </c>
      <c r="M37" s="1139">
        <f>IF($M$49=0,,I37)</f>
        <v>0</v>
      </c>
      <c r="N37" s="1164">
        <f>IF(A37="Y", M37*2%,)</f>
        <v>0</v>
      </c>
      <c r="O37" s="1071">
        <f t="shared" si="2"/>
        <v>0</v>
      </c>
      <c r="P37" s="937"/>
      <c r="Q37" s="127"/>
      <c r="R37" s="127"/>
      <c r="S37" s="127"/>
      <c r="T37" s="127"/>
      <c r="U37" s="127"/>
    </row>
    <row r="38" spans="1:21" s="74" customFormat="1" x14ac:dyDescent="0.2">
      <c r="A38" s="1066" t="s">
        <v>7</v>
      </c>
      <c r="B38" s="1088"/>
      <c r="C38" s="1341" t="s">
        <v>421</v>
      </c>
      <c r="D38" s="1342"/>
      <c r="E38" s="1342"/>
      <c r="F38" s="1343"/>
      <c r="G38" s="1086" t="s">
        <v>230</v>
      </c>
      <c r="H38" s="1179" t="s">
        <v>24</v>
      </c>
      <c r="I38" s="1175">
        <v>0</v>
      </c>
      <c r="J38" s="1074">
        <f t="shared" si="5"/>
        <v>0</v>
      </c>
      <c r="K38" s="1070">
        <f t="shared" si="0"/>
        <v>0</v>
      </c>
      <c r="L38" s="1171">
        <f t="shared" si="1"/>
        <v>0</v>
      </c>
      <c r="M38" s="1139">
        <f>IF($M$49=0,,I38)</f>
        <v>0</v>
      </c>
      <c r="N38" s="1164">
        <f>IF(A38="Y", M38*2%,)</f>
        <v>0</v>
      </c>
      <c r="O38" s="1071">
        <f t="shared" si="2"/>
        <v>0</v>
      </c>
      <c r="P38" s="937"/>
      <c r="Q38" s="125"/>
      <c r="R38" s="125"/>
      <c r="S38" s="125"/>
      <c r="T38" s="125"/>
      <c r="U38" s="125"/>
    </row>
    <row r="39" spans="1:21" s="74" customFormat="1" x14ac:dyDescent="0.2">
      <c r="A39" s="1066" t="s">
        <v>7</v>
      </c>
      <c r="B39" s="1088"/>
      <c r="C39" s="1341" t="s">
        <v>284</v>
      </c>
      <c r="D39" s="1342"/>
      <c r="E39" s="1342"/>
      <c r="F39" s="1343"/>
      <c r="G39" s="1086" t="s">
        <v>32</v>
      </c>
      <c r="H39" s="1179" t="s">
        <v>27</v>
      </c>
      <c r="I39" s="1175">
        <v>0</v>
      </c>
      <c r="J39" s="1074">
        <f t="shared" si="5"/>
        <v>0</v>
      </c>
      <c r="K39" s="1070">
        <f t="shared" si="0"/>
        <v>0</v>
      </c>
      <c r="L39" s="1171">
        <f t="shared" si="1"/>
        <v>0</v>
      </c>
      <c r="M39" s="1139">
        <f>IF($M$49=0,,I39)</f>
        <v>0</v>
      </c>
      <c r="N39" s="1164">
        <f>IF(A39="Y", M39*2%,)</f>
        <v>0</v>
      </c>
      <c r="O39" s="1071">
        <f t="shared" si="2"/>
        <v>0</v>
      </c>
      <c r="P39" s="937"/>
      <c r="Q39" s="125"/>
      <c r="R39" s="125"/>
      <c r="S39" s="125"/>
      <c r="T39" s="125"/>
      <c r="U39" s="125"/>
    </row>
    <row r="40" spans="1:21" s="74" customFormat="1" x14ac:dyDescent="0.2">
      <c r="A40" s="1066" t="s">
        <v>8</v>
      </c>
      <c r="B40" s="1088"/>
      <c r="C40" s="1338" t="s">
        <v>495</v>
      </c>
      <c r="D40" s="1339"/>
      <c r="E40" s="1339"/>
      <c r="F40" s="1340"/>
      <c r="G40" s="988" t="s">
        <v>446</v>
      </c>
      <c r="H40" s="1179"/>
      <c r="I40" s="1180">
        <v>0</v>
      </c>
      <c r="J40" s="1074"/>
      <c r="K40" s="1070">
        <f t="shared" si="0"/>
        <v>0</v>
      </c>
      <c r="L40" s="1171">
        <f t="shared" si="1"/>
        <v>0</v>
      </c>
      <c r="M40" s="1139">
        <f>IF($M$49=0,,I40)</f>
        <v>0</v>
      </c>
      <c r="N40" s="1164">
        <f>IF(A40="Y", M40*2%,)</f>
        <v>0</v>
      </c>
      <c r="O40" s="1071">
        <f>M40-N40</f>
        <v>0</v>
      </c>
      <c r="P40" s="937"/>
      <c r="Q40" s="125"/>
      <c r="R40" s="125"/>
      <c r="S40" s="996"/>
      <c r="T40" s="125"/>
      <c r="U40" s="125"/>
    </row>
    <row r="41" spans="1:21" s="74" customFormat="1" x14ac:dyDescent="0.2">
      <c r="A41" s="1066" t="s">
        <v>8</v>
      </c>
      <c r="B41" s="1088"/>
      <c r="C41" s="1338" t="s">
        <v>583</v>
      </c>
      <c r="D41" s="1339"/>
      <c r="E41" s="1339"/>
      <c r="F41" s="1340"/>
      <c r="G41" s="988" t="s">
        <v>32</v>
      </c>
      <c r="H41" s="1179" t="s">
        <v>15</v>
      </c>
      <c r="I41" s="1180">
        <v>0</v>
      </c>
      <c r="J41" s="1074">
        <f>I41</f>
        <v>0</v>
      </c>
      <c r="K41" s="1070">
        <f>IF(A41="Y", I41*2%,0)</f>
        <v>0</v>
      </c>
      <c r="L41" s="1171">
        <f>I41-K41</f>
        <v>0</v>
      </c>
      <c r="M41" s="1139">
        <f>IF($M$49=0,,I41)</f>
        <v>0</v>
      </c>
      <c r="N41" s="1164">
        <f>IF(A41="Y", M41*2%,)</f>
        <v>0</v>
      </c>
      <c r="O41" s="1071">
        <f>M41-N41</f>
        <v>0</v>
      </c>
      <c r="P41" s="937"/>
      <c r="Q41" s="125"/>
      <c r="R41" s="125"/>
      <c r="S41" s="125"/>
      <c r="T41" s="125"/>
      <c r="U41" s="125"/>
    </row>
    <row r="42" spans="1:21" s="74" customFormat="1" x14ac:dyDescent="0.2">
      <c r="A42" s="1066" t="s">
        <v>7</v>
      </c>
      <c r="B42" s="1088"/>
      <c r="C42" s="1341" t="s">
        <v>445</v>
      </c>
      <c r="D42" s="1342"/>
      <c r="E42" s="1342"/>
      <c r="F42" s="1343"/>
      <c r="G42" s="1086" t="s">
        <v>32</v>
      </c>
      <c r="H42" s="1179"/>
      <c r="I42" s="1175">
        <v>0</v>
      </c>
      <c r="J42" s="1074">
        <f>I42</f>
        <v>0</v>
      </c>
      <c r="K42" s="1070">
        <f t="shared" si="0"/>
        <v>0</v>
      </c>
      <c r="L42" s="1171">
        <f t="shared" si="1"/>
        <v>0</v>
      </c>
      <c r="M42" s="1139">
        <f>IF($M$49=0,,I42)</f>
        <v>0</v>
      </c>
      <c r="N42" s="1164">
        <f>IF(A42="Y", M42*2%,)</f>
        <v>0</v>
      </c>
      <c r="O42" s="1071">
        <f t="shared" ref="O42:O43" si="6">M42-N42</f>
        <v>0</v>
      </c>
      <c r="P42" s="937"/>
      <c r="Q42" s="125"/>
      <c r="R42" s="125"/>
      <c r="S42" s="125"/>
      <c r="T42" s="125"/>
      <c r="U42" s="125"/>
    </row>
    <row r="43" spans="1:21" s="74" customFormat="1" x14ac:dyDescent="0.2">
      <c r="A43" s="1066" t="s">
        <v>8</v>
      </c>
      <c r="B43" s="1088"/>
      <c r="C43" s="1338" t="s">
        <v>559</v>
      </c>
      <c r="D43" s="1339"/>
      <c r="E43" s="1339"/>
      <c r="F43" s="1340"/>
      <c r="G43" s="988" t="s">
        <v>31</v>
      </c>
      <c r="H43" s="1181" t="s">
        <v>13</v>
      </c>
      <c r="I43" s="2163">
        <v>0</v>
      </c>
      <c r="J43" s="1074">
        <f t="shared" si="5"/>
        <v>0</v>
      </c>
      <c r="K43" s="1070">
        <f t="shared" si="0"/>
        <v>0</v>
      </c>
      <c r="L43" s="1171">
        <f t="shared" si="1"/>
        <v>0</v>
      </c>
      <c r="M43" s="1139">
        <f>IF($M$49=0,,I43)</f>
        <v>0</v>
      </c>
      <c r="N43" s="1164">
        <f>IF(A43="Y", M43*2%,)</f>
        <v>0</v>
      </c>
      <c r="O43" s="1071">
        <f t="shared" si="6"/>
        <v>0</v>
      </c>
      <c r="P43" s="937"/>
      <c r="Q43" s="125"/>
      <c r="R43" s="125"/>
      <c r="S43" s="125"/>
      <c r="T43" s="125"/>
      <c r="U43" s="125"/>
    </row>
    <row r="44" spans="1:21" s="74" customFormat="1" x14ac:dyDescent="0.2">
      <c r="A44" s="1066" t="s">
        <v>7</v>
      </c>
      <c r="B44" s="1088"/>
      <c r="C44" s="1341" t="s">
        <v>454</v>
      </c>
      <c r="D44" s="1342"/>
      <c r="E44" s="1342"/>
      <c r="F44" s="1343"/>
      <c r="G44" s="1086" t="s">
        <v>32</v>
      </c>
      <c r="H44" s="1179" t="s">
        <v>27</v>
      </c>
      <c r="I44" s="1175">
        <v>0</v>
      </c>
      <c r="J44" s="1074">
        <f t="shared" si="5"/>
        <v>0</v>
      </c>
      <c r="K44" s="1070">
        <f t="shared" si="0"/>
        <v>0</v>
      </c>
      <c r="L44" s="1171">
        <f t="shared" si="1"/>
        <v>0</v>
      </c>
      <c r="M44" s="1139">
        <f>IF($M$49=0,,I44)</f>
        <v>0</v>
      </c>
      <c r="N44" s="1164">
        <f>IF(A44="Y", M44*2%,)</f>
        <v>0</v>
      </c>
      <c r="O44" s="1071">
        <f t="shared" si="2"/>
        <v>0</v>
      </c>
      <c r="P44" s="937"/>
      <c r="Q44" s="125"/>
      <c r="R44" s="125"/>
      <c r="S44" s="125"/>
      <c r="T44" s="125"/>
      <c r="U44" s="125"/>
    </row>
    <row r="45" spans="1:21" s="74" customFormat="1" x14ac:dyDescent="0.2">
      <c r="A45" s="1066" t="s">
        <v>7</v>
      </c>
      <c r="B45" s="1088"/>
      <c r="C45" s="1341" t="s">
        <v>376</v>
      </c>
      <c r="D45" s="1342"/>
      <c r="E45" s="1342"/>
      <c r="F45" s="1343"/>
      <c r="G45" s="1086" t="s">
        <v>32</v>
      </c>
      <c r="H45" s="1179" t="s">
        <v>80</v>
      </c>
      <c r="I45" s="1182">
        <v>0</v>
      </c>
      <c r="J45" s="1074">
        <f t="shared" si="5"/>
        <v>0</v>
      </c>
      <c r="K45" s="1070">
        <f>IF(A46="Y", I45*2%,0)</f>
        <v>0</v>
      </c>
      <c r="L45" s="1171">
        <f t="shared" si="1"/>
        <v>0</v>
      </c>
      <c r="M45" s="1139">
        <f>IF($M$49=0,,I45)</f>
        <v>0</v>
      </c>
      <c r="N45" s="1164">
        <f>IF(A46="Y", M45*2%,)</f>
        <v>0</v>
      </c>
      <c r="O45" s="1071">
        <f t="shared" si="2"/>
        <v>0</v>
      </c>
      <c r="P45" s="937"/>
      <c r="Q45" s="125"/>
      <c r="R45" s="125"/>
      <c r="S45" s="125"/>
      <c r="T45" s="125"/>
      <c r="U45" s="125"/>
    </row>
    <row r="46" spans="1:21" s="74" customFormat="1" x14ac:dyDescent="0.2">
      <c r="A46" s="1066" t="s">
        <v>7</v>
      </c>
      <c r="B46" s="1088"/>
      <c r="C46" s="1341" t="s">
        <v>225</v>
      </c>
      <c r="D46" s="1342"/>
      <c r="E46" s="1342"/>
      <c r="F46" s="1343"/>
      <c r="G46" s="1086" t="s">
        <v>31</v>
      </c>
      <c r="H46" s="1179"/>
      <c r="I46" s="1182">
        <v>0</v>
      </c>
      <c r="J46" s="1074"/>
      <c r="K46" s="1070">
        <f>IF(A47="Y", I46*2%,0)</f>
        <v>0</v>
      </c>
      <c r="L46" s="1171">
        <f t="shared" si="1"/>
        <v>0</v>
      </c>
      <c r="M46" s="1139">
        <f>IF($M$49=0,,I46)</f>
        <v>0</v>
      </c>
      <c r="N46" s="1164">
        <f>IF(A47="Y", M46*2%,)</f>
        <v>0</v>
      </c>
      <c r="O46" s="1071">
        <f t="shared" si="2"/>
        <v>0</v>
      </c>
      <c r="P46" s="937"/>
      <c r="Q46" s="125"/>
      <c r="R46" s="125"/>
      <c r="S46" s="125"/>
      <c r="T46" s="125"/>
      <c r="U46" s="125"/>
    </row>
    <row r="47" spans="1:21" s="74" customFormat="1" ht="15" customHeight="1" x14ac:dyDescent="0.2">
      <c r="A47" s="1144" t="s">
        <v>7</v>
      </c>
      <c r="B47" s="1088"/>
      <c r="C47" s="1326" t="s">
        <v>487</v>
      </c>
      <c r="D47" s="1327"/>
      <c r="E47" s="1327"/>
      <c r="F47" s="1328"/>
      <c r="G47" s="1089" t="s">
        <v>31</v>
      </c>
      <c r="H47" s="1183" t="s">
        <v>41</v>
      </c>
      <c r="I47" s="1091"/>
      <c r="J47" s="1146"/>
      <c r="K47" s="1092"/>
      <c r="L47" s="1184">
        <f>K48</f>
        <v>0</v>
      </c>
      <c r="M47" s="1148"/>
      <c r="N47" s="1185"/>
      <c r="O47" s="1093">
        <f>N48</f>
        <v>0</v>
      </c>
      <c r="P47" s="937"/>
      <c r="Q47" s="125"/>
      <c r="R47" s="125"/>
      <c r="S47" s="125"/>
      <c r="T47" s="125"/>
      <c r="U47" s="125"/>
    </row>
    <row r="48" spans="1:21" s="74" customFormat="1" ht="16.5" thickBot="1" x14ac:dyDescent="0.25">
      <c r="A48" s="1149"/>
      <c r="B48" s="56"/>
      <c r="C48" s="56"/>
      <c r="D48" s="56"/>
      <c r="E48" s="1094"/>
      <c r="F48" s="1094"/>
      <c r="G48" s="813"/>
      <c r="H48" s="813"/>
      <c r="I48" s="813"/>
      <c r="J48" s="813"/>
      <c r="K48" s="1095">
        <f>SUM(K16:K47)</f>
        <v>0</v>
      </c>
      <c r="L48" s="1186"/>
      <c r="M48" s="813"/>
      <c r="N48" s="1095">
        <f>SUM(N16:N47)</f>
        <v>0</v>
      </c>
      <c r="O48" s="1096"/>
      <c r="P48" s="939"/>
      <c r="Q48" s="125"/>
      <c r="R48" s="125"/>
      <c r="S48" s="125"/>
      <c r="T48" s="125"/>
      <c r="U48" s="125"/>
    </row>
    <row r="49" spans="1:23" s="125" customFormat="1" ht="16.5" thickBot="1" x14ac:dyDescent="0.25">
      <c r="A49" s="871"/>
      <c r="B49" s="832"/>
      <c r="C49" s="832"/>
      <c r="D49" s="832"/>
      <c r="E49" s="833"/>
      <c r="F49" s="985" t="s">
        <v>81</v>
      </c>
      <c r="G49" s="834"/>
      <c r="H49" s="835" t="s">
        <v>1</v>
      </c>
      <c r="I49" s="906">
        <f>SUM(I35:I48)</f>
        <v>0</v>
      </c>
      <c r="J49" s="907">
        <v>1940</v>
      </c>
      <c r="K49" s="908"/>
      <c r="L49" s="926">
        <f>SUM(L35:L48)</f>
        <v>0</v>
      </c>
      <c r="M49" s="957">
        <v>0</v>
      </c>
      <c r="N49" s="908"/>
      <c r="O49" s="936">
        <f>SUM(O35:O48)</f>
        <v>0</v>
      </c>
      <c r="P49" s="127"/>
    </row>
    <row r="50" spans="1:23" s="141" customFormat="1" x14ac:dyDescent="0.2">
      <c r="A50" s="1187"/>
      <c r="B50" s="1188"/>
      <c r="C50" s="1188"/>
      <c r="D50" s="1188"/>
      <c r="E50" s="1188"/>
      <c r="F50" s="1188"/>
      <c r="G50" s="1188"/>
      <c r="H50" s="1188"/>
      <c r="I50" s="1188"/>
      <c r="J50" s="1188"/>
      <c r="K50" s="1188"/>
      <c r="L50" s="1188"/>
      <c r="M50" s="1188"/>
      <c r="N50" s="1188"/>
      <c r="O50" s="1188"/>
      <c r="P50" s="912"/>
      <c r="Q50" s="912"/>
      <c r="R50" s="912"/>
      <c r="S50" s="912"/>
      <c r="T50" s="912"/>
      <c r="U50" s="912"/>
      <c r="V50" s="912"/>
      <c r="W50" s="912"/>
    </row>
    <row r="51" spans="1:23" s="141" customFormat="1" x14ac:dyDescent="0.2">
      <c r="A51" s="1187"/>
      <c r="B51" s="1188"/>
      <c r="C51" s="1188"/>
      <c r="D51" s="1188"/>
      <c r="E51" s="1188"/>
      <c r="F51" s="1188"/>
      <c r="G51" s="1188"/>
      <c r="H51" s="1188"/>
      <c r="I51" s="1188"/>
      <c r="J51" s="1188"/>
      <c r="K51" s="1188"/>
      <c r="L51" s="1188"/>
      <c r="M51" s="1188"/>
      <c r="N51" s="1188"/>
      <c r="O51" s="1188"/>
      <c r="P51" s="912"/>
      <c r="Q51" s="912"/>
      <c r="R51" s="912"/>
      <c r="S51" s="912"/>
      <c r="T51" s="912"/>
      <c r="U51" s="912"/>
      <c r="V51" s="912"/>
      <c r="W51" s="912"/>
    </row>
    <row r="52" spans="1:23" s="141" customFormat="1" x14ac:dyDescent="0.2">
      <c r="A52" s="1187"/>
      <c r="B52" s="1188"/>
      <c r="C52" s="1188"/>
      <c r="D52" s="1188"/>
      <c r="E52" s="1188"/>
      <c r="F52" s="1188"/>
      <c r="G52" s="1188"/>
      <c r="H52" s="1188"/>
      <c r="I52" s="1188"/>
      <c r="J52" s="1188"/>
      <c r="K52" s="1188"/>
      <c r="L52" s="1188"/>
      <c r="M52" s="1188"/>
      <c r="N52" s="1188"/>
      <c r="O52" s="1188"/>
      <c r="P52" s="912"/>
      <c r="Q52" s="912"/>
      <c r="R52" s="912"/>
      <c r="S52" s="912"/>
      <c r="T52" s="912"/>
      <c r="U52" s="912"/>
      <c r="V52" s="912"/>
      <c r="W52" s="912"/>
    </row>
    <row r="53" spans="1:23" s="54" customFormat="1" x14ac:dyDescent="0.2">
      <c r="A53" s="1189"/>
      <c r="B53" s="1189"/>
      <c r="C53" s="1189"/>
      <c r="D53" s="1189"/>
      <c r="E53" s="1190"/>
      <c r="F53" s="1190"/>
      <c r="G53" s="918"/>
      <c r="H53" s="918"/>
      <c r="I53" s="918"/>
      <c r="J53" s="918"/>
      <c r="K53" s="918"/>
      <c r="L53" s="918"/>
      <c r="M53" s="918"/>
      <c r="N53" s="918"/>
      <c r="O53" s="918"/>
      <c r="P53" s="912"/>
      <c r="Q53" s="912"/>
      <c r="R53" s="912"/>
      <c r="S53" s="912"/>
      <c r="T53" s="912"/>
      <c r="U53" s="912"/>
      <c r="V53" s="912"/>
      <c r="W53" s="912"/>
    </row>
    <row r="54" spans="1:23" x14ac:dyDescent="0.2">
      <c r="P54" s="910"/>
      <c r="Q54" s="910"/>
      <c r="R54" s="910"/>
      <c r="S54" s="910"/>
      <c r="T54" s="910"/>
      <c r="U54" s="913"/>
      <c r="V54" s="913"/>
      <c r="W54" s="321"/>
    </row>
  </sheetData>
  <mergeCells count="81">
    <mergeCell ref="C23:F23"/>
    <mergeCell ref="C24:F24"/>
    <mergeCell ref="C18:F18"/>
    <mergeCell ref="C19:F19"/>
    <mergeCell ref="C20:F20"/>
    <mergeCell ref="C21:F21"/>
    <mergeCell ref="C22:F22"/>
    <mergeCell ref="M13:O13"/>
    <mergeCell ref="C14:F15"/>
    <mergeCell ref="K14:K15"/>
    <mergeCell ref="N14:N15"/>
    <mergeCell ref="C17:F17"/>
    <mergeCell ref="C34:F34"/>
    <mergeCell ref="C46:F46"/>
    <mergeCell ref="C35:F35"/>
    <mergeCell ref="C36:F36"/>
    <mergeCell ref="C37:F37"/>
    <mergeCell ref="C38:F38"/>
    <mergeCell ref="C39:F39"/>
    <mergeCell ref="C40:F40"/>
    <mergeCell ref="C25:D25"/>
    <mergeCell ref="E25:F29"/>
    <mergeCell ref="C30:F30"/>
    <mergeCell ref="C32:E32"/>
    <mergeCell ref="F32:F33"/>
    <mergeCell ref="C27:D27"/>
    <mergeCell ref="C28:D28"/>
    <mergeCell ref="C29:D29"/>
    <mergeCell ref="C26:D26"/>
    <mergeCell ref="C31:F31"/>
    <mergeCell ref="C33:E33"/>
    <mergeCell ref="B16:B20"/>
    <mergeCell ref="C16:F16"/>
    <mergeCell ref="C47:F47"/>
    <mergeCell ref="A3:O3"/>
    <mergeCell ref="A4:C4"/>
    <mergeCell ref="D4:E4"/>
    <mergeCell ref="F4:G4"/>
    <mergeCell ref="I4:L4"/>
    <mergeCell ref="M4:N4"/>
    <mergeCell ref="M8:N8"/>
    <mergeCell ref="C41:F41"/>
    <mergeCell ref="C42:F42"/>
    <mergeCell ref="C43:F43"/>
    <mergeCell ref="C44:F44"/>
    <mergeCell ref="C45:F45"/>
    <mergeCell ref="I13:L13"/>
    <mergeCell ref="A11:C11"/>
    <mergeCell ref="D11:E11"/>
    <mergeCell ref="F11:G11"/>
    <mergeCell ref="I11:L11"/>
    <mergeCell ref="M11:N11"/>
    <mergeCell ref="M9:N9"/>
    <mergeCell ref="A10:C10"/>
    <mergeCell ref="D10:E10"/>
    <mergeCell ref="F10:G10"/>
    <mergeCell ref="I10:L10"/>
    <mergeCell ref="M10:N10"/>
    <mergeCell ref="A8:C8"/>
    <mergeCell ref="D8:E8"/>
    <mergeCell ref="F8:G8"/>
    <mergeCell ref="I8:L8"/>
    <mergeCell ref="A9:C9"/>
    <mergeCell ref="D9:E9"/>
    <mergeCell ref="F9:G9"/>
    <mergeCell ref="I9:L9"/>
    <mergeCell ref="A1:O1"/>
    <mergeCell ref="M5:N5"/>
    <mergeCell ref="A7:C7"/>
    <mergeCell ref="D7:E7"/>
    <mergeCell ref="F7:G7"/>
    <mergeCell ref="I7:L7"/>
    <mergeCell ref="A5:C5"/>
    <mergeCell ref="D5:E5"/>
    <mergeCell ref="F5:G5"/>
    <mergeCell ref="I5:L5"/>
    <mergeCell ref="A6:C6"/>
    <mergeCell ref="D6:E6"/>
    <mergeCell ref="F6:G6"/>
    <mergeCell ref="I6:L6"/>
    <mergeCell ref="M6:N6"/>
  </mergeCells>
  <conditionalFormatting sqref="I32:I35 I19:I30 K16:L47">
    <cfRule type="cellIs" dxfId="177" priority="1" operator="equal">
      <formula>0</formula>
    </cfRule>
  </conditionalFormatting>
  <conditionalFormatting sqref="M16:O47">
    <cfRule type="cellIs" dxfId="176" priority="7" stopIfTrue="1" operator="equal">
      <formula>0</formula>
    </cfRule>
  </conditionalFormatting>
  <conditionalFormatting sqref="H16:H24 H30 H32:H34">
    <cfRule type="expression" dxfId="175" priority="6" stopIfTrue="1">
      <formula>MOD(ROW(),2)=0</formula>
    </cfRule>
  </conditionalFormatting>
  <conditionalFormatting sqref="U54:V65533 U12:V12 Q13:R13">
    <cfRule type="cellIs" dxfId="174" priority="5" stopIfTrue="1" operator="notEqual">
      <formula>0</formula>
    </cfRule>
  </conditionalFormatting>
  <conditionalFormatting sqref="H25:H30">
    <cfRule type="expression" dxfId="173" priority="4" stopIfTrue="1">
      <formula>MOD(ROW(), 2)=0</formula>
    </cfRule>
  </conditionalFormatting>
  <conditionalFormatting sqref="I16:I18">
    <cfRule type="cellIs" dxfId="172" priority="3" stopIfTrue="1" operator="equal">
      <formula>0</formula>
    </cfRule>
  </conditionalFormatting>
  <conditionalFormatting sqref="E25">
    <cfRule type="cellIs" dxfId="171" priority="2" operator="notEqual">
      <formula>"GC 76000 PA ($" &amp;O11&amp;" for every 10) breakdown = local Board of Supervisor resolution (BOS)."</formula>
    </cfRule>
  </conditionalFormatting>
  <pageMargins left="0.7" right="0.7" top="0.75" bottom="0.75" header="0.3" footer="0.3"/>
  <pageSetup scale="62" orientation="landscape" r:id="rId1"/>
  <ignoredErrors>
    <ignoredError sqref="O35 L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7986" r:id="rId4" name="Button 18">
              <controlPr defaultSize="0" print="0" autoFill="0" autoPict="0" macro="[3]!mcrDisableTwoPercentUnprotect">
                <anchor moveWithCells="1">
                  <from>
                    <xdr:col>0</xdr:col>
                    <xdr:colOff>9525</xdr:colOff>
                    <xdr:row>13</xdr:row>
                    <xdr:rowOff>523875</xdr:rowOff>
                  </from>
                  <to>
                    <xdr:col>0</xdr:col>
                    <xdr:colOff>276225</xdr:colOff>
                    <xdr:row>16</xdr:row>
                    <xdr:rowOff>57150</xdr:rowOff>
                  </to>
                </anchor>
              </controlPr>
            </control>
          </mc:Choice>
        </mc:AlternateContent>
        <mc:AlternateContent xmlns:mc="http://schemas.openxmlformats.org/markup-compatibility/2006">
          <mc:Choice Requires="x14">
            <control shapeId="467987" r:id="rId5" name="Button 19">
              <controlPr defaultSize="0" print="0" autoFill="0" autoPict="0" macro="[3]!mcrEnableTwoPercentUnprotect">
                <anchor moveWithCells="1">
                  <from>
                    <xdr:col>0</xdr:col>
                    <xdr:colOff>0</xdr:colOff>
                    <xdr:row>13</xdr:row>
                    <xdr:rowOff>219075</xdr:rowOff>
                  </from>
                  <to>
                    <xdr:col>0</xdr:col>
                    <xdr:colOff>276225</xdr:colOff>
                    <xdr:row>16</xdr:row>
                    <xdr:rowOff>152400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A46"/>
  <sheetViews>
    <sheetView showGridLines="0" zoomScale="80" zoomScaleNormal="80" zoomScaleSheetLayoutView="70" workbookViewId="0">
      <selection activeCell="N4" sqref="N4"/>
    </sheetView>
  </sheetViews>
  <sheetFormatPr defaultRowHeight="15.75" x14ac:dyDescent="0.2"/>
  <cols>
    <col min="1" max="1" width="4.28515625" style="332" customWidth="1"/>
    <col min="2" max="2" width="7.28515625" style="332" customWidth="1"/>
    <col min="3" max="3" width="13.5703125" style="332" customWidth="1"/>
    <col min="4" max="4" width="12.42578125" style="332" customWidth="1"/>
    <col min="5" max="5" width="10.7109375" style="1098" customWidth="1"/>
    <col min="6" max="6" width="23.85546875" style="1099" customWidth="1"/>
    <col min="7" max="7" width="14.7109375" style="333" customWidth="1"/>
    <col min="8" max="8" width="49.140625" style="333" hidden="1" customWidth="1"/>
    <col min="9" max="9" width="12" style="333" customWidth="1"/>
    <col min="10" max="10" width="12.5703125" style="333" customWidth="1"/>
    <col min="11" max="11" width="13.5703125" style="333" customWidth="1"/>
    <col min="12" max="12" width="13.28515625" style="333" customWidth="1"/>
    <col min="13" max="13" width="12.42578125" style="1097" customWidth="1"/>
    <col min="14" max="14" width="15.28515625" style="333" customWidth="1"/>
    <col min="15" max="15" width="6" style="100" bestFit="1" customWidth="1"/>
    <col min="16" max="16" width="10.85546875" style="100" customWidth="1"/>
    <col min="17" max="17" width="6.42578125" style="100" customWidth="1"/>
    <col min="18" max="18" width="10.7109375" style="100" customWidth="1"/>
    <col min="19" max="19" width="1.85546875" style="137" customWidth="1"/>
    <col min="20" max="20" width="12.42578125" style="101" customWidth="1"/>
    <col min="21" max="21" width="5.85546875" style="101" customWidth="1"/>
    <col min="22" max="22" width="18.28515625" style="102" customWidth="1"/>
    <col min="23" max="23" width="2.140625" style="54" customWidth="1"/>
    <col min="24" max="24" width="11.28515625" style="54" customWidth="1"/>
    <col min="25" max="25" width="11.140625" style="54" customWidth="1"/>
    <col min="26" max="27" width="9.140625" style="54"/>
    <col min="28" max="16384" width="9.140625" style="50"/>
  </cols>
  <sheetData>
    <row r="1" spans="1:27" s="746" customFormat="1" ht="23.25" customHeight="1" thickBot="1" x14ac:dyDescent="0.25">
      <c r="A1" s="1375" t="s">
        <v>598</v>
      </c>
      <c r="B1" s="1376"/>
      <c r="C1" s="1376"/>
      <c r="D1" s="1376"/>
      <c r="E1" s="1376"/>
      <c r="F1" s="1376"/>
      <c r="G1" s="1376"/>
      <c r="H1" s="1376"/>
      <c r="I1" s="1376"/>
      <c r="J1" s="1376"/>
      <c r="K1" s="1376"/>
      <c r="L1" s="1376"/>
      <c r="M1" s="1377"/>
      <c r="N1" s="1378"/>
      <c r="O1" s="1206"/>
      <c r="P1" s="1207"/>
      <c r="Q1" s="1207"/>
      <c r="R1" s="1207"/>
      <c r="S1" s="1207"/>
      <c r="T1" s="1207"/>
      <c r="U1" s="1207"/>
      <c r="V1" s="1207"/>
    </row>
    <row r="2" spans="1:27" s="54" customFormat="1" ht="15" customHeight="1" thickBot="1" x14ac:dyDescent="0.25">
      <c r="A2" s="984"/>
      <c r="B2" s="985"/>
      <c r="C2" s="985"/>
      <c r="D2" s="985"/>
      <c r="E2" s="985"/>
      <c r="F2" s="985"/>
      <c r="G2" s="985"/>
      <c r="H2" s="985"/>
      <c r="I2" s="985"/>
      <c r="J2" s="985"/>
      <c r="K2" s="833"/>
      <c r="L2" s="833"/>
      <c r="M2" s="833"/>
      <c r="N2" s="1116"/>
      <c r="O2" s="52"/>
      <c r="P2" s="52"/>
      <c r="Q2" s="52"/>
      <c r="R2" s="52"/>
      <c r="S2" s="52"/>
      <c r="T2" s="52"/>
      <c r="U2" s="52"/>
      <c r="V2" s="52"/>
    </row>
    <row r="3" spans="1:27" s="54" customFormat="1" ht="15.75" customHeight="1" thickBot="1" x14ac:dyDescent="0.25">
      <c r="A3" s="1419" t="s">
        <v>234</v>
      </c>
      <c r="B3" s="1417"/>
      <c r="C3" s="1417"/>
      <c r="D3" s="1417"/>
      <c r="E3" s="1417"/>
      <c r="F3" s="1417"/>
      <c r="G3" s="1417"/>
      <c r="H3" s="1417"/>
      <c r="I3" s="1417"/>
      <c r="J3" s="1417"/>
      <c r="K3" s="1417"/>
      <c r="L3" s="1417"/>
      <c r="M3" s="1417"/>
      <c r="N3" s="1418"/>
      <c r="O3" s="237"/>
    </row>
    <row r="4" spans="1:27" s="57" customFormat="1" x14ac:dyDescent="0.2">
      <c r="A4" s="1379" t="s">
        <v>231</v>
      </c>
      <c r="B4" s="1380"/>
      <c r="C4" s="1380"/>
      <c r="D4" s="1335"/>
      <c r="E4" s="2141"/>
      <c r="F4" s="1687" t="s">
        <v>28</v>
      </c>
      <c r="G4" s="1382"/>
      <c r="H4" s="208"/>
      <c r="I4" s="1420"/>
      <c r="J4" s="1421"/>
      <c r="K4" s="1422"/>
      <c r="L4" s="1383" t="s">
        <v>257</v>
      </c>
      <c r="M4" s="1383"/>
      <c r="N4" s="209">
        <v>0</v>
      </c>
    </row>
    <row r="5" spans="1:27" s="57" customFormat="1" ht="20.25" customHeight="1" x14ac:dyDescent="0.2">
      <c r="A5" s="1384" t="s">
        <v>4</v>
      </c>
      <c r="B5" s="1385"/>
      <c r="C5" s="1385"/>
      <c r="D5" s="1289"/>
      <c r="E5" s="1293"/>
      <c r="F5" s="1278" t="s">
        <v>244</v>
      </c>
      <c r="G5" s="1387"/>
      <c r="H5" s="185"/>
      <c r="I5" s="1390"/>
      <c r="J5" s="1391"/>
      <c r="K5" s="1392"/>
      <c r="L5" s="1388" t="s">
        <v>22</v>
      </c>
      <c r="M5" s="1388"/>
      <c r="N5" s="58">
        <v>0</v>
      </c>
    </row>
    <row r="6" spans="1:27" s="57" customFormat="1" x14ac:dyDescent="0.2">
      <c r="A6" s="1384" t="s">
        <v>12</v>
      </c>
      <c r="B6" s="1385"/>
      <c r="C6" s="1385"/>
      <c r="D6" s="1289"/>
      <c r="E6" s="1293"/>
      <c r="F6" s="1278" t="s">
        <v>20</v>
      </c>
      <c r="G6" s="1387"/>
      <c r="H6" s="185"/>
      <c r="I6" s="1423"/>
      <c r="J6" s="1424"/>
      <c r="K6" s="1425"/>
      <c r="L6" s="1389" t="s">
        <v>233</v>
      </c>
      <c r="M6" s="1389"/>
      <c r="N6" s="212">
        <f>N4+N5*10</f>
        <v>0</v>
      </c>
    </row>
    <row r="7" spans="1:27" s="57" customFormat="1" ht="18" customHeight="1" x14ac:dyDescent="0.2">
      <c r="A7" s="1384" t="s">
        <v>5</v>
      </c>
      <c r="B7" s="1385"/>
      <c r="C7" s="1385"/>
      <c r="D7" s="1393"/>
      <c r="E7" s="1393"/>
      <c r="F7" s="1278" t="s">
        <v>21</v>
      </c>
      <c r="G7" s="1387"/>
      <c r="H7" s="790"/>
      <c r="I7" s="1426"/>
      <c r="J7" s="1427"/>
      <c r="K7" s="1427"/>
      <c r="L7" s="976"/>
      <c r="M7" s="977"/>
      <c r="N7" s="975"/>
    </row>
    <row r="8" spans="1:27" s="57" customFormat="1" ht="15.75" customHeight="1" x14ac:dyDescent="0.2">
      <c r="A8" s="1394" t="s">
        <v>444</v>
      </c>
      <c r="B8" s="1395"/>
      <c r="C8" s="1395"/>
      <c r="D8" s="1396">
        <v>0</v>
      </c>
      <c r="E8" s="2142"/>
      <c r="F8" s="1687" t="s">
        <v>253</v>
      </c>
      <c r="G8" s="1382"/>
      <c r="H8" s="208"/>
      <c r="I8" s="1428"/>
      <c r="J8" s="1429"/>
      <c r="K8" s="1430"/>
      <c r="L8" s="1383" t="s">
        <v>257</v>
      </c>
      <c r="M8" s="1383"/>
      <c r="N8" s="209">
        <v>0</v>
      </c>
    </row>
    <row r="9" spans="1:27" s="57" customFormat="1" x14ac:dyDescent="0.2">
      <c r="A9" s="1402" t="s">
        <v>85</v>
      </c>
      <c r="B9" s="1403"/>
      <c r="C9" s="1403"/>
      <c r="D9" s="1404">
        <f>100%-D8</f>
        <v>1</v>
      </c>
      <c r="E9" s="2143"/>
      <c r="F9" s="1278" t="s">
        <v>244</v>
      </c>
      <c r="G9" s="1387"/>
      <c r="H9" s="185"/>
      <c r="I9" s="1390"/>
      <c r="J9" s="1431"/>
      <c r="K9" s="1432"/>
      <c r="L9" s="1388" t="s">
        <v>22</v>
      </c>
      <c r="M9" s="1388"/>
      <c r="N9" s="58"/>
    </row>
    <row r="10" spans="1:27" s="57" customFormat="1" ht="16.5" customHeight="1" thickBot="1" x14ac:dyDescent="0.25">
      <c r="A10" s="1436" t="s">
        <v>276</v>
      </c>
      <c r="B10" s="1437"/>
      <c r="C10" s="1437"/>
      <c r="D10" s="1438">
        <f>N6+N10+I16+I17</f>
        <v>0</v>
      </c>
      <c r="E10" s="1438"/>
      <c r="F10" s="1278" t="s">
        <v>20</v>
      </c>
      <c r="G10" s="1387"/>
      <c r="H10" s="185"/>
      <c r="I10" s="1390"/>
      <c r="J10" s="1431"/>
      <c r="K10" s="1432"/>
      <c r="L10" s="1389" t="s">
        <v>233</v>
      </c>
      <c r="M10" s="1389"/>
      <c r="N10" s="212">
        <f>N8+N9*10</f>
        <v>0</v>
      </c>
    </row>
    <row r="11" spans="1:27" s="57" customFormat="1" ht="19.5" customHeight="1" thickBot="1" x14ac:dyDescent="0.25">
      <c r="A11" s="1439" t="s">
        <v>277</v>
      </c>
      <c r="B11" s="1440"/>
      <c r="C11" s="1440"/>
      <c r="D11" s="1441">
        <f>ROUNDUP(D10/10,0)</f>
        <v>0</v>
      </c>
      <c r="E11" s="1441"/>
      <c r="F11" s="1285" t="s">
        <v>21</v>
      </c>
      <c r="G11" s="1399"/>
      <c r="H11" s="186"/>
      <c r="I11" s="1433"/>
      <c r="J11" s="1434"/>
      <c r="K11" s="1435"/>
      <c r="L11" s="1400" t="s">
        <v>568</v>
      </c>
      <c r="M11" s="1401"/>
      <c r="N11" s="1117">
        <f>'Local Penalties'!B8</f>
        <v>5</v>
      </c>
    </row>
    <row r="12" spans="1:27" s="57" customFormat="1" ht="16.5" thickBot="1" x14ac:dyDescent="0.25">
      <c r="A12" s="1118"/>
      <c r="B12" s="1119"/>
      <c r="C12" s="1062"/>
      <c r="D12" s="1062"/>
      <c r="E12" s="1062"/>
      <c r="F12" s="66"/>
      <c r="G12" s="59"/>
      <c r="H12" s="60"/>
      <c r="I12" s="61"/>
      <c r="J12" s="61"/>
      <c r="K12" s="61"/>
      <c r="L12" s="61"/>
      <c r="M12" s="61"/>
      <c r="N12" s="846"/>
      <c r="O12" s="56"/>
      <c r="P12" s="56"/>
      <c r="Q12" s="56"/>
      <c r="R12" s="56"/>
      <c r="S12" s="56"/>
      <c r="T12" s="63"/>
      <c r="U12" s="63"/>
      <c r="V12" s="64"/>
      <c r="Z12" s="65"/>
    </row>
    <row r="13" spans="1:27" s="109" customFormat="1" ht="19.5" customHeight="1" thickBot="1" x14ac:dyDescent="0.25">
      <c r="A13" s="1063"/>
      <c r="B13" s="1064"/>
      <c r="C13" s="1064"/>
      <c r="D13" s="1064"/>
      <c r="E13" s="1064"/>
      <c r="F13" s="107"/>
      <c r="G13" s="814"/>
      <c r="H13" s="820"/>
      <c r="I13" s="1344" t="s">
        <v>297</v>
      </c>
      <c r="J13" s="1417"/>
      <c r="K13" s="1418"/>
      <c r="L13" s="1361" t="s">
        <v>582</v>
      </c>
      <c r="M13" s="1362"/>
      <c r="N13" s="1363"/>
      <c r="O13" s="158"/>
      <c r="P13" s="159"/>
      <c r="Q13" s="108"/>
      <c r="R13" s="108"/>
      <c r="S13" s="108"/>
      <c r="T13" s="108"/>
      <c r="U13" s="108"/>
    </row>
    <row r="14" spans="1:27" ht="51" customHeight="1" thickBot="1" x14ac:dyDescent="0.25">
      <c r="A14" s="982">
        <v>0.02</v>
      </c>
      <c r="B14" s="982" t="s">
        <v>58</v>
      </c>
      <c r="C14" s="1364" t="s">
        <v>226</v>
      </c>
      <c r="D14" s="1365"/>
      <c r="E14" s="1365"/>
      <c r="F14" s="1366"/>
      <c r="G14" s="990" t="s">
        <v>249</v>
      </c>
      <c r="H14" s="1120" t="s">
        <v>0</v>
      </c>
      <c r="I14" s="1121" t="s">
        <v>298</v>
      </c>
      <c r="J14" s="1406" t="s">
        <v>6</v>
      </c>
      <c r="K14" s="991" t="s">
        <v>591</v>
      </c>
      <c r="L14" s="1121" t="s">
        <v>428</v>
      </c>
      <c r="M14" s="1406" t="s">
        <v>6</v>
      </c>
      <c r="N14" s="991" t="s">
        <v>591</v>
      </c>
      <c r="O14" s="54"/>
      <c r="P14" s="54"/>
      <c r="Q14" s="54"/>
      <c r="R14" s="54"/>
      <c r="S14" s="50"/>
      <c r="T14" s="50"/>
      <c r="U14" s="50"/>
      <c r="V14" s="50"/>
      <c r="W14" s="50"/>
      <c r="X14" s="50"/>
      <c r="Y14" s="50"/>
      <c r="Z14" s="50"/>
      <c r="AA14" s="50"/>
    </row>
    <row r="15" spans="1:27" ht="9" hidden="1" customHeight="1" thickBot="1" x14ac:dyDescent="0.25">
      <c r="A15" s="983"/>
      <c r="B15" s="983"/>
      <c r="C15" s="1367"/>
      <c r="D15" s="1368"/>
      <c r="E15" s="1368"/>
      <c r="F15" s="1369"/>
      <c r="G15" s="959"/>
      <c r="H15" s="1122"/>
      <c r="I15" s="1123"/>
      <c r="J15" s="1407"/>
      <c r="K15" s="974"/>
      <c r="L15" s="1124" t="e">
        <f>L33/I33</f>
        <v>#DIV/0!</v>
      </c>
      <c r="M15" s="1407"/>
      <c r="N15" s="974"/>
      <c r="O15" s="54"/>
      <c r="P15" s="54"/>
      <c r="Q15" s="54"/>
      <c r="R15" s="54"/>
      <c r="S15" s="50"/>
      <c r="T15" s="50"/>
      <c r="U15" s="50"/>
      <c r="V15" s="50"/>
      <c r="W15" s="50"/>
      <c r="X15" s="50"/>
      <c r="Y15" s="50"/>
      <c r="Z15" s="50"/>
      <c r="AA15" s="50"/>
    </row>
    <row r="16" spans="1:27" s="74" customFormat="1" ht="18" customHeight="1" x14ac:dyDescent="0.2">
      <c r="A16" s="1125" t="s">
        <v>8</v>
      </c>
      <c r="B16" s="1320" t="s">
        <v>241</v>
      </c>
      <c r="C16" s="1408" t="s">
        <v>592</v>
      </c>
      <c r="D16" s="1409"/>
      <c r="E16" s="1409"/>
      <c r="F16" s="1409"/>
      <c r="G16" s="1126" t="s">
        <v>586</v>
      </c>
      <c r="H16" s="1127" t="s">
        <v>329</v>
      </c>
      <c r="I16" s="1128">
        <v>0</v>
      </c>
      <c r="J16" s="1129">
        <f t="shared" ref="J16:J32" si="0">IF(A16="Y", I16*2%,0)</f>
        <v>0</v>
      </c>
      <c r="K16" s="1130">
        <f t="shared" ref="K16:K32" si="1">I16-J16</f>
        <v>0</v>
      </c>
      <c r="L16" s="1131">
        <f>IF($L$40=0,,IF($L$15*$I$16&gt;50,$I$16,$L$15*$I$16))</f>
        <v>0</v>
      </c>
      <c r="M16" s="1132">
        <f t="shared" ref="M16:M32" si="2">IF(A16="Y", L16*2%,)</f>
        <v>0</v>
      </c>
      <c r="N16" s="1133">
        <f>L16-M16</f>
        <v>0</v>
      </c>
      <c r="O16" s="125"/>
      <c r="P16" s="125"/>
      <c r="Q16" s="125"/>
      <c r="R16" s="125"/>
    </row>
    <row r="17" spans="1:20" s="74" customFormat="1" ht="15" customHeight="1" x14ac:dyDescent="0.2">
      <c r="A17" s="1066" t="s">
        <v>8</v>
      </c>
      <c r="B17" s="1321"/>
      <c r="C17" s="1408" t="s">
        <v>593</v>
      </c>
      <c r="D17" s="1409"/>
      <c r="E17" s="1409"/>
      <c r="F17" s="1409"/>
      <c r="G17" s="1134" t="s">
        <v>32</v>
      </c>
      <c r="H17" s="1135" t="s">
        <v>71</v>
      </c>
      <c r="I17" s="1136">
        <v>0</v>
      </c>
      <c r="J17" s="1137">
        <f t="shared" si="0"/>
        <v>0</v>
      </c>
      <c r="K17" s="1138">
        <f t="shared" si="1"/>
        <v>0</v>
      </c>
      <c r="L17" s="1139">
        <f>IF($L$40=0,,IF($L$15*$I$17&gt;$I$17,$I$17,$L$15*$I$17))</f>
        <v>0</v>
      </c>
      <c r="M17" s="1069">
        <f t="shared" si="2"/>
        <v>0</v>
      </c>
      <c r="N17" s="1140">
        <f>L17-M17</f>
        <v>0</v>
      </c>
      <c r="O17" s="125"/>
      <c r="P17" s="125"/>
      <c r="Q17" s="125"/>
      <c r="R17" s="125"/>
    </row>
    <row r="18" spans="1:20" s="74" customFormat="1" ht="15" customHeight="1" x14ac:dyDescent="0.2">
      <c r="A18" s="1066" t="s">
        <v>8</v>
      </c>
      <c r="B18" s="1321"/>
      <c r="C18" s="1416" t="s">
        <v>330</v>
      </c>
      <c r="D18" s="1416"/>
      <c r="E18" s="1416"/>
      <c r="F18" s="1416"/>
      <c r="G18" s="1077" t="s">
        <v>31</v>
      </c>
      <c r="H18" s="1073" t="s">
        <v>10</v>
      </c>
      <c r="I18" s="1139">
        <f>($D$10-SUM($I$16:$I$17))*75%</f>
        <v>0</v>
      </c>
      <c r="J18" s="1069">
        <f t="shared" si="0"/>
        <v>0</v>
      </c>
      <c r="K18" s="1140">
        <f t="shared" si="1"/>
        <v>0</v>
      </c>
      <c r="L18" s="1139">
        <f>IF($L$40=0,,(($D$10*$L$15)-SUM($L$16:$L$17))*75%)</f>
        <v>0</v>
      </c>
      <c r="M18" s="1069">
        <f t="shared" si="2"/>
        <v>0</v>
      </c>
      <c r="N18" s="1140">
        <f t="shared" ref="N18:N37" si="3">L18-M18</f>
        <v>0</v>
      </c>
      <c r="O18" s="125"/>
      <c r="P18" s="125"/>
      <c r="Q18" s="125"/>
      <c r="R18" s="125"/>
    </row>
    <row r="19" spans="1:20" s="74" customFormat="1" ht="15" customHeight="1" x14ac:dyDescent="0.2">
      <c r="A19" s="1066" t="s">
        <v>8</v>
      </c>
      <c r="B19" s="1322"/>
      <c r="C19" s="1416" t="s">
        <v>331</v>
      </c>
      <c r="D19" s="1416"/>
      <c r="E19" s="1416"/>
      <c r="F19" s="1416"/>
      <c r="G19" s="1208" t="str">
        <f>IF(D8="Yes","COUNTY","CITY")</f>
        <v>CITY</v>
      </c>
      <c r="H19" s="1073" t="s">
        <v>24</v>
      </c>
      <c r="I19" s="1139">
        <f>($D$10-SUM($I$16:$I$17))*25%</f>
        <v>0</v>
      </c>
      <c r="J19" s="1069">
        <f t="shared" si="0"/>
        <v>0</v>
      </c>
      <c r="K19" s="1140">
        <f t="shared" si="1"/>
        <v>0</v>
      </c>
      <c r="L19" s="1139">
        <f>IF($L$40=0,,(($D$10*$L$15)-SUM($L$16:$L$17))*25%)</f>
        <v>0</v>
      </c>
      <c r="M19" s="1069">
        <f t="shared" si="2"/>
        <v>0</v>
      </c>
      <c r="N19" s="1140">
        <f t="shared" si="3"/>
        <v>0</v>
      </c>
      <c r="O19" s="125"/>
      <c r="P19" s="125"/>
      <c r="Q19" s="125"/>
      <c r="R19" s="125"/>
    </row>
    <row r="20" spans="1:20" s="74" customFormat="1" ht="15" customHeight="1" x14ac:dyDescent="0.2">
      <c r="A20" s="1066" t="s">
        <v>8</v>
      </c>
      <c r="B20" s="1075">
        <v>7</v>
      </c>
      <c r="C20" s="1412" t="s">
        <v>546</v>
      </c>
      <c r="D20" s="1412"/>
      <c r="E20" s="1412"/>
      <c r="F20" s="1412"/>
      <c r="G20" s="1072" t="s">
        <v>31</v>
      </c>
      <c r="H20" s="1073" t="s">
        <v>26</v>
      </c>
      <c r="I20" s="1139">
        <f>$D$11*B20</f>
        <v>0</v>
      </c>
      <c r="J20" s="1069">
        <f t="shared" si="0"/>
        <v>0</v>
      </c>
      <c r="K20" s="1140">
        <f t="shared" si="1"/>
        <v>0</v>
      </c>
      <c r="L20" s="1139">
        <f t="shared" ref="L20:L32" si="4">IF($L$40=0,,$L$15*I20)</f>
        <v>0</v>
      </c>
      <c r="M20" s="1069">
        <f t="shared" si="2"/>
        <v>0</v>
      </c>
      <c r="N20" s="1140">
        <f t="shared" si="3"/>
        <v>0</v>
      </c>
      <c r="O20" s="125"/>
      <c r="P20" s="125"/>
      <c r="Q20" s="125"/>
      <c r="R20" s="125"/>
      <c r="T20" s="333"/>
    </row>
    <row r="21" spans="1:20" s="74" customFormat="1" ht="15" customHeight="1" x14ac:dyDescent="0.2">
      <c r="A21" s="1066" t="s">
        <v>8</v>
      </c>
      <c r="B21" s="1075">
        <v>3</v>
      </c>
      <c r="C21" s="1412" t="s">
        <v>547</v>
      </c>
      <c r="D21" s="1412"/>
      <c r="E21" s="1412"/>
      <c r="F21" s="1412"/>
      <c r="G21" s="1072" t="s">
        <v>32</v>
      </c>
      <c r="H21" s="1073" t="s">
        <v>27</v>
      </c>
      <c r="I21" s="1139">
        <f t="shared" ref="I21:I31" si="5">$D$11*B21</f>
        <v>0</v>
      </c>
      <c r="J21" s="1069">
        <f t="shared" si="0"/>
        <v>0</v>
      </c>
      <c r="K21" s="1140">
        <f t="shared" si="1"/>
        <v>0</v>
      </c>
      <c r="L21" s="1139">
        <f t="shared" si="4"/>
        <v>0</v>
      </c>
      <c r="M21" s="1069">
        <f t="shared" si="2"/>
        <v>0</v>
      </c>
      <c r="N21" s="1140">
        <f t="shared" si="3"/>
        <v>0</v>
      </c>
      <c r="P21" s="125"/>
      <c r="Q21" s="125"/>
      <c r="R21" s="125"/>
    </row>
    <row r="22" spans="1:20" s="74" customFormat="1" ht="15" customHeight="1" x14ac:dyDescent="0.2">
      <c r="A22" s="1066" t="s">
        <v>8</v>
      </c>
      <c r="B22" s="1075">
        <v>1</v>
      </c>
      <c r="C22" s="1326" t="s">
        <v>216</v>
      </c>
      <c r="D22" s="1327"/>
      <c r="E22" s="1327"/>
      <c r="F22" s="1328"/>
      <c r="G22" s="1072" t="s">
        <v>32</v>
      </c>
      <c r="H22" s="1073" t="s">
        <v>55</v>
      </c>
      <c r="I22" s="1139">
        <f t="shared" si="5"/>
        <v>0</v>
      </c>
      <c r="J22" s="1069">
        <f t="shared" si="0"/>
        <v>0</v>
      </c>
      <c r="K22" s="1140">
        <f t="shared" si="1"/>
        <v>0</v>
      </c>
      <c r="L22" s="1139">
        <f t="shared" si="4"/>
        <v>0</v>
      </c>
      <c r="M22" s="1069">
        <f t="shared" si="2"/>
        <v>0</v>
      </c>
      <c r="N22" s="1140">
        <f t="shared" si="3"/>
        <v>0</v>
      </c>
      <c r="O22" s="125"/>
      <c r="P22" s="125"/>
      <c r="Q22" s="125"/>
      <c r="R22" s="125"/>
    </row>
    <row r="23" spans="1:20" s="74" customFormat="1" ht="15" customHeight="1" x14ac:dyDescent="0.2">
      <c r="A23" s="1066" t="s">
        <v>8</v>
      </c>
      <c r="B23" s="1075">
        <v>3</v>
      </c>
      <c r="C23" s="1326" t="s">
        <v>466</v>
      </c>
      <c r="D23" s="1327"/>
      <c r="E23" s="1327"/>
      <c r="F23" s="1328"/>
      <c r="G23" s="1072" t="s">
        <v>31</v>
      </c>
      <c r="H23" s="1073" t="s">
        <v>72</v>
      </c>
      <c r="I23" s="1139">
        <f t="shared" si="5"/>
        <v>0</v>
      </c>
      <c r="J23" s="1069">
        <f t="shared" si="0"/>
        <v>0</v>
      </c>
      <c r="K23" s="1140">
        <f t="shared" si="1"/>
        <v>0</v>
      </c>
      <c r="L23" s="1139">
        <f t="shared" si="4"/>
        <v>0</v>
      </c>
      <c r="M23" s="1069">
        <f t="shared" si="2"/>
        <v>0</v>
      </c>
      <c r="N23" s="1140">
        <f t="shared" si="3"/>
        <v>0</v>
      </c>
      <c r="O23" s="125"/>
      <c r="P23" s="125"/>
      <c r="Q23" s="125"/>
      <c r="R23" s="125"/>
    </row>
    <row r="24" spans="1:20" s="74" customFormat="1" ht="15" customHeight="1" x14ac:dyDescent="0.2">
      <c r="A24" s="1066" t="s">
        <v>8</v>
      </c>
      <c r="B24" s="1076">
        <v>0</v>
      </c>
      <c r="C24" s="1412" t="s">
        <v>217</v>
      </c>
      <c r="D24" s="1412"/>
      <c r="E24" s="1347" t="str">
        <f>IF(SUM(B24:B28)=N11,"GC 76000 PA ($" &amp;N11 &amp; " for every 10) breakdown per local board of supervisor resolution (BOS).","ERROR! GC 76000 PA total is not $" &amp;N11&amp; ". Check Court's board resolution.")</f>
        <v>ERROR! GC 76000 PA total is not $5. Check Court's board resolution.</v>
      </c>
      <c r="F24" s="1348"/>
      <c r="G24" s="1072" t="s">
        <v>32</v>
      </c>
      <c r="H24" s="1073" t="s">
        <v>64</v>
      </c>
      <c r="I24" s="1139">
        <f t="shared" si="5"/>
        <v>0</v>
      </c>
      <c r="J24" s="1069">
        <f t="shared" si="0"/>
        <v>0</v>
      </c>
      <c r="K24" s="1140">
        <f t="shared" si="1"/>
        <v>0</v>
      </c>
      <c r="L24" s="1139">
        <f t="shared" si="4"/>
        <v>0</v>
      </c>
      <c r="M24" s="1069">
        <f t="shared" si="2"/>
        <v>0</v>
      </c>
      <c r="N24" s="1140">
        <f t="shared" si="3"/>
        <v>0</v>
      </c>
      <c r="O24" s="125"/>
      <c r="P24" s="125"/>
      <c r="Q24" s="125"/>
      <c r="R24" s="125"/>
    </row>
    <row r="25" spans="1:20" s="74" customFormat="1" ht="15" customHeight="1" x14ac:dyDescent="0.2">
      <c r="A25" s="1066" t="s">
        <v>8</v>
      </c>
      <c r="B25" s="1076">
        <v>0</v>
      </c>
      <c r="C25" s="1412" t="s">
        <v>218</v>
      </c>
      <c r="D25" s="1412"/>
      <c r="E25" s="1349"/>
      <c r="F25" s="1350"/>
      <c r="G25" s="1072" t="s">
        <v>32</v>
      </c>
      <c r="H25" s="1073" t="s">
        <v>35</v>
      </c>
      <c r="I25" s="1139">
        <f t="shared" si="5"/>
        <v>0</v>
      </c>
      <c r="J25" s="1069">
        <f t="shared" si="0"/>
        <v>0</v>
      </c>
      <c r="K25" s="1140">
        <f t="shared" si="1"/>
        <v>0</v>
      </c>
      <c r="L25" s="1139">
        <f t="shared" si="4"/>
        <v>0</v>
      </c>
      <c r="M25" s="1069">
        <f t="shared" si="2"/>
        <v>0</v>
      </c>
      <c r="N25" s="1140">
        <f t="shared" si="3"/>
        <v>0</v>
      </c>
      <c r="O25" s="125"/>
      <c r="P25" s="125"/>
      <c r="Q25" s="125"/>
      <c r="R25" s="125"/>
    </row>
    <row r="26" spans="1:20" s="74" customFormat="1" ht="15" customHeight="1" x14ac:dyDescent="0.2">
      <c r="A26" s="1066" t="s">
        <v>8</v>
      </c>
      <c r="B26" s="1076">
        <v>0</v>
      </c>
      <c r="C26" s="1412" t="s">
        <v>219</v>
      </c>
      <c r="D26" s="1412"/>
      <c r="E26" s="1349"/>
      <c r="F26" s="1350"/>
      <c r="G26" s="1072" t="s">
        <v>32</v>
      </c>
      <c r="H26" s="1073" t="s">
        <v>65</v>
      </c>
      <c r="I26" s="1139">
        <f t="shared" si="5"/>
        <v>0</v>
      </c>
      <c r="J26" s="1069">
        <f t="shared" si="0"/>
        <v>0</v>
      </c>
      <c r="K26" s="1140">
        <f t="shared" si="1"/>
        <v>0</v>
      </c>
      <c r="L26" s="1139">
        <f t="shared" si="4"/>
        <v>0</v>
      </c>
      <c r="M26" s="1069">
        <f t="shared" si="2"/>
        <v>0</v>
      </c>
      <c r="N26" s="1140">
        <f t="shared" si="3"/>
        <v>0</v>
      </c>
      <c r="O26" s="125"/>
      <c r="P26" s="125"/>
      <c r="Q26" s="125"/>
      <c r="R26" s="125"/>
    </row>
    <row r="27" spans="1:20" s="74" customFormat="1" ht="15" customHeight="1" x14ac:dyDescent="0.2">
      <c r="A27" s="1066" t="s">
        <v>8</v>
      </c>
      <c r="B27" s="1076">
        <v>0</v>
      </c>
      <c r="C27" s="1412" t="s">
        <v>401</v>
      </c>
      <c r="D27" s="1412"/>
      <c r="E27" s="1349"/>
      <c r="F27" s="1350"/>
      <c r="G27" s="1072" t="s">
        <v>32</v>
      </c>
      <c r="H27" s="1073" t="s">
        <v>65</v>
      </c>
      <c r="I27" s="1139">
        <f>$D$11*B27</f>
        <v>0</v>
      </c>
      <c r="J27" s="1069">
        <f t="shared" si="0"/>
        <v>0</v>
      </c>
      <c r="K27" s="1140">
        <f t="shared" si="1"/>
        <v>0</v>
      </c>
      <c r="L27" s="1139">
        <f t="shared" si="4"/>
        <v>0</v>
      </c>
      <c r="M27" s="1069">
        <f t="shared" si="2"/>
        <v>0</v>
      </c>
      <c r="N27" s="1140">
        <f>L27-M27</f>
        <v>0</v>
      </c>
      <c r="O27" s="125"/>
      <c r="P27" s="125"/>
      <c r="Q27" s="125"/>
      <c r="R27" s="125"/>
    </row>
    <row r="28" spans="1:20" s="74" customFormat="1" ht="15" customHeight="1" x14ac:dyDescent="0.2">
      <c r="A28" s="1066" t="s">
        <v>8</v>
      </c>
      <c r="B28" s="1076">
        <v>0</v>
      </c>
      <c r="C28" s="1412" t="s">
        <v>254</v>
      </c>
      <c r="D28" s="1412"/>
      <c r="E28" s="1351"/>
      <c r="F28" s="1352"/>
      <c r="G28" s="1072" t="s">
        <v>32</v>
      </c>
      <c r="H28" s="1073"/>
      <c r="I28" s="1139">
        <f t="shared" si="5"/>
        <v>0</v>
      </c>
      <c r="J28" s="1069">
        <f t="shared" si="0"/>
        <v>0</v>
      </c>
      <c r="K28" s="1140">
        <f t="shared" si="1"/>
        <v>0</v>
      </c>
      <c r="L28" s="1139">
        <f t="shared" si="4"/>
        <v>0</v>
      </c>
      <c r="M28" s="1069">
        <f t="shared" si="2"/>
        <v>0</v>
      </c>
      <c r="N28" s="1140">
        <f t="shared" si="3"/>
        <v>0</v>
      </c>
      <c r="O28" s="125"/>
      <c r="P28" s="125"/>
      <c r="Q28" s="125"/>
      <c r="R28" s="125"/>
    </row>
    <row r="29" spans="1:20" s="74" customFormat="1" ht="15" customHeight="1" x14ac:dyDescent="0.2">
      <c r="A29" s="1066" t="s">
        <v>8</v>
      </c>
      <c r="B29" s="1076">
        <v>0</v>
      </c>
      <c r="C29" s="1353" t="s">
        <v>286</v>
      </c>
      <c r="D29" s="1354"/>
      <c r="E29" s="1354"/>
      <c r="F29" s="1355"/>
      <c r="G29" s="1077" t="s">
        <v>32</v>
      </c>
      <c r="H29" s="1078" t="s">
        <v>36</v>
      </c>
      <c r="I29" s="1139">
        <f t="shared" si="5"/>
        <v>0</v>
      </c>
      <c r="J29" s="1069">
        <f t="shared" si="0"/>
        <v>0</v>
      </c>
      <c r="K29" s="1140">
        <f t="shared" si="1"/>
        <v>0</v>
      </c>
      <c r="L29" s="1139">
        <f t="shared" si="4"/>
        <v>0</v>
      </c>
      <c r="M29" s="1069">
        <f t="shared" si="2"/>
        <v>0</v>
      </c>
      <c r="N29" s="1140">
        <f t="shared" si="3"/>
        <v>0</v>
      </c>
      <c r="O29" s="125"/>
      <c r="P29" s="125"/>
      <c r="Q29" s="125"/>
      <c r="R29" s="125"/>
    </row>
    <row r="30" spans="1:20" s="85" customFormat="1" ht="15" customHeight="1" x14ac:dyDescent="0.2">
      <c r="A30" s="1066" t="s">
        <v>8</v>
      </c>
      <c r="B30" s="1076">
        <v>0</v>
      </c>
      <c r="C30" s="1353" t="s">
        <v>555</v>
      </c>
      <c r="D30" s="1354"/>
      <c r="E30" s="1355"/>
      <c r="F30" s="1414" t="s">
        <v>281</v>
      </c>
      <c r="G30" s="1077" t="s">
        <v>31</v>
      </c>
      <c r="H30" s="1078" t="s">
        <v>37</v>
      </c>
      <c r="I30" s="1139">
        <f t="shared" si="5"/>
        <v>0</v>
      </c>
      <c r="J30" s="1069">
        <f t="shared" si="0"/>
        <v>0</v>
      </c>
      <c r="K30" s="1140">
        <f t="shared" si="1"/>
        <v>0</v>
      </c>
      <c r="L30" s="1139">
        <f t="shared" si="4"/>
        <v>0</v>
      </c>
      <c r="M30" s="1069">
        <f t="shared" si="2"/>
        <v>0</v>
      </c>
      <c r="N30" s="1140">
        <f t="shared" si="3"/>
        <v>0</v>
      </c>
      <c r="O30" s="127"/>
      <c r="P30" s="127"/>
      <c r="Q30" s="127"/>
      <c r="R30" s="127"/>
    </row>
    <row r="31" spans="1:20" s="90" customFormat="1" ht="15" customHeight="1" x14ac:dyDescent="0.2">
      <c r="A31" s="1066" t="s">
        <v>8</v>
      </c>
      <c r="B31" s="1080">
        <f>5-B30</f>
        <v>5</v>
      </c>
      <c r="C31" s="1353" t="s">
        <v>556</v>
      </c>
      <c r="D31" s="1354"/>
      <c r="E31" s="1355"/>
      <c r="F31" s="1415"/>
      <c r="G31" s="1077" t="s">
        <v>31</v>
      </c>
      <c r="H31" s="1078" t="s">
        <v>197</v>
      </c>
      <c r="I31" s="1139">
        <f t="shared" si="5"/>
        <v>0</v>
      </c>
      <c r="J31" s="1069">
        <f t="shared" si="0"/>
        <v>0</v>
      </c>
      <c r="K31" s="1140">
        <f t="shared" si="1"/>
        <v>0</v>
      </c>
      <c r="L31" s="1139">
        <f t="shared" si="4"/>
        <v>0</v>
      </c>
      <c r="M31" s="1069">
        <f t="shared" si="2"/>
        <v>0</v>
      </c>
      <c r="N31" s="1140">
        <f t="shared" si="3"/>
        <v>0</v>
      </c>
      <c r="O31" s="143"/>
      <c r="P31" s="143"/>
      <c r="Q31" s="143"/>
      <c r="R31" s="143"/>
    </row>
    <row r="32" spans="1:20" s="74" customFormat="1" ht="15" customHeight="1" x14ac:dyDescent="0.2">
      <c r="A32" s="1066" t="s">
        <v>7</v>
      </c>
      <c r="B32" s="1075"/>
      <c r="C32" s="1353" t="s">
        <v>220</v>
      </c>
      <c r="D32" s="1354"/>
      <c r="E32" s="1354"/>
      <c r="F32" s="1355"/>
      <c r="G32" s="1077" t="s">
        <v>31</v>
      </c>
      <c r="H32" s="1078" t="s">
        <v>10</v>
      </c>
      <c r="I32" s="1139">
        <f>$D$10*20%</f>
        <v>0</v>
      </c>
      <c r="J32" s="1069">
        <f t="shared" si="0"/>
        <v>0</v>
      </c>
      <c r="K32" s="1140">
        <f t="shared" si="1"/>
        <v>0</v>
      </c>
      <c r="L32" s="1139">
        <f t="shared" si="4"/>
        <v>0</v>
      </c>
      <c r="M32" s="1069">
        <f t="shared" si="2"/>
        <v>0</v>
      </c>
      <c r="N32" s="1140">
        <f t="shared" si="3"/>
        <v>0</v>
      </c>
      <c r="O32" s="125"/>
      <c r="P32" s="125"/>
      <c r="Q32" s="125"/>
      <c r="R32" s="125"/>
    </row>
    <row r="33" spans="1:20" s="74" customFormat="1" ht="15" customHeight="1" x14ac:dyDescent="0.2">
      <c r="A33" s="1066"/>
      <c r="B33" s="1081"/>
      <c r="C33" s="1358" t="s">
        <v>221</v>
      </c>
      <c r="D33" s="1410"/>
      <c r="E33" s="1410"/>
      <c r="F33" s="1411"/>
      <c r="G33" s="1082"/>
      <c r="H33" s="1083"/>
      <c r="I33" s="1141">
        <f>SUM(I16:I32)</f>
        <v>0</v>
      </c>
      <c r="J33" s="1069"/>
      <c r="K33" s="1142">
        <f>SUM(K16:K32)</f>
        <v>0</v>
      </c>
      <c r="L33" s="1141">
        <f>IF($L$40=0,,L40-SUM(L34:L37))</f>
        <v>0</v>
      </c>
      <c r="M33" s="1069"/>
      <c r="N33" s="1142">
        <f>SUM(N16:N32)</f>
        <v>0</v>
      </c>
      <c r="O33" s="125"/>
      <c r="P33" s="125"/>
      <c r="Q33" s="125"/>
      <c r="R33" s="125"/>
    </row>
    <row r="34" spans="1:20" s="85" customFormat="1" ht="15" customHeight="1" x14ac:dyDescent="0.2">
      <c r="A34" s="1066" t="s">
        <v>7</v>
      </c>
      <c r="B34" s="1075"/>
      <c r="C34" s="1353" t="s">
        <v>419</v>
      </c>
      <c r="D34" s="1354"/>
      <c r="E34" s="1354"/>
      <c r="F34" s="1355"/>
      <c r="G34" s="1077" t="s">
        <v>31</v>
      </c>
      <c r="H34" s="1079"/>
      <c r="I34" s="2162">
        <v>0</v>
      </c>
      <c r="J34" s="1069">
        <f>IF(A34="Y", I34*2%,0)</f>
        <v>0</v>
      </c>
      <c r="K34" s="1140">
        <f>I34-J34</f>
        <v>0</v>
      </c>
      <c r="L34" s="1139">
        <f>IF($L$40=0,,I34)</f>
        <v>0</v>
      </c>
      <c r="M34" s="1069">
        <f>IF(A34="Y", L34*2%,)</f>
        <v>0</v>
      </c>
      <c r="N34" s="1140">
        <f>L34-M34</f>
        <v>0</v>
      </c>
      <c r="O34" s="127"/>
      <c r="P34" s="127"/>
      <c r="Q34" s="127"/>
      <c r="R34" s="127"/>
    </row>
    <row r="35" spans="1:20" s="90" customFormat="1" x14ac:dyDescent="0.2">
      <c r="A35" s="1066" t="s">
        <v>7</v>
      </c>
      <c r="B35" s="1075"/>
      <c r="C35" s="1341" t="s">
        <v>259</v>
      </c>
      <c r="D35" s="1342"/>
      <c r="E35" s="1342"/>
      <c r="F35" s="1343"/>
      <c r="G35" s="1086" t="s">
        <v>31</v>
      </c>
      <c r="H35" s="1087" t="s">
        <v>197</v>
      </c>
      <c r="I35" s="2162">
        <v>0</v>
      </c>
      <c r="J35" s="1069">
        <f>IF(A35="Y", I35*2%,0)</f>
        <v>0</v>
      </c>
      <c r="K35" s="1140">
        <f>I35-J35</f>
        <v>0</v>
      </c>
      <c r="L35" s="1139">
        <f>IF($L$40=0,,I35)</f>
        <v>0</v>
      </c>
      <c r="M35" s="1069">
        <f>IF(A35="Y", L35*2%,)</f>
        <v>0</v>
      </c>
      <c r="N35" s="1140">
        <f t="shared" si="3"/>
        <v>0</v>
      </c>
      <c r="O35" s="143"/>
      <c r="P35" s="143"/>
      <c r="Q35" s="143"/>
      <c r="R35" s="143"/>
    </row>
    <row r="36" spans="1:20" s="85" customFormat="1" ht="15" customHeight="1" x14ac:dyDescent="0.2">
      <c r="A36" s="1066" t="s">
        <v>8</v>
      </c>
      <c r="B36" s="1088"/>
      <c r="C36" s="1413" t="s">
        <v>560</v>
      </c>
      <c r="D36" s="1413"/>
      <c r="E36" s="1413"/>
      <c r="F36" s="1413"/>
      <c r="G36" s="1086" t="s">
        <v>31</v>
      </c>
      <c r="H36" s="1087"/>
      <c r="I36" s="2162">
        <v>0</v>
      </c>
      <c r="J36" s="1069">
        <f>IF(A36="Y", I36*2%,0)</f>
        <v>0</v>
      </c>
      <c r="K36" s="1140">
        <f>I36-J36</f>
        <v>0</v>
      </c>
      <c r="L36" s="1139">
        <f>IF($L$40=0,,I36)</f>
        <v>0</v>
      </c>
      <c r="M36" s="1069">
        <f>IF(A36="Y", L36*2%,)</f>
        <v>0</v>
      </c>
      <c r="N36" s="1140">
        <f t="shared" si="3"/>
        <v>0</v>
      </c>
      <c r="O36" s="127"/>
      <c r="P36" s="127"/>
      <c r="Q36" s="127"/>
      <c r="R36" s="127"/>
    </row>
    <row r="37" spans="1:20" s="85" customFormat="1" x14ac:dyDescent="0.2">
      <c r="A37" s="1066" t="s">
        <v>7</v>
      </c>
      <c r="B37" s="1088"/>
      <c r="C37" s="1341" t="s">
        <v>454</v>
      </c>
      <c r="D37" s="1342"/>
      <c r="E37" s="1342"/>
      <c r="F37" s="1343"/>
      <c r="G37" s="1072" t="s">
        <v>32</v>
      </c>
      <c r="H37" s="1087"/>
      <c r="I37" s="1143">
        <v>0</v>
      </c>
      <c r="J37" s="1069">
        <f>IF(A37="Y", I37*2%,0)</f>
        <v>0</v>
      </c>
      <c r="K37" s="1140">
        <f>I37-J37</f>
        <v>0</v>
      </c>
      <c r="L37" s="1139">
        <f>IF($L$40=0,,I37)</f>
        <v>0</v>
      </c>
      <c r="M37" s="1069">
        <f>IF(A37="Y", L37*2%,)</f>
        <v>0</v>
      </c>
      <c r="N37" s="1140">
        <f t="shared" si="3"/>
        <v>0</v>
      </c>
      <c r="O37" s="127"/>
      <c r="P37" s="127"/>
      <c r="Q37" s="127"/>
      <c r="R37" s="127"/>
    </row>
    <row r="38" spans="1:20" s="74" customFormat="1" ht="30" customHeight="1" x14ac:dyDescent="0.2">
      <c r="A38" s="1144" t="s">
        <v>7</v>
      </c>
      <c r="B38" s="1088"/>
      <c r="C38" s="1326" t="s">
        <v>492</v>
      </c>
      <c r="D38" s="1327"/>
      <c r="E38" s="1327"/>
      <c r="F38" s="1328"/>
      <c r="G38" s="1089" t="s">
        <v>31</v>
      </c>
      <c r="H38" s="1090" t="s">
        <v>41</v>
      </c>
      <c r="I38" s="1145"/>
      <c r="J38" s="1146"/>
      <c r="K38" s="1147">
        <f>J39</f>
        <v>0</v>
      </c>
      <c r="L38" s="1148"/>
      <c r="M38" s="1146"/>
      <c r="N38" s="1147">
        <f>M39</f>
        <v>0</v>
      </c>
      <c r="O38" s="125"/>
      <c r="P38" s="125"/>
      <c r="Q38" s="125"/>
      <c r="R38" s="125"/>
    </row>
    <row r="39" spans="1:20" s="74" customFormat="1" x14ac:dyDescent="0.2">
      <c r="A39" s="1149"/>
      <c r="B39" s="56"/>
      <c r="C39" s="56"/>
      <c r="D39" s="56"/>
      <c r="E39" s="1094"/>
      <c r="F39" s="1094"/>
      <c r="G39" s="813"/>
      <c r="H39" s="813"/>
      <c r="I39" s="1150"/>
      <c r="J39" s="1151">
        <f>SUM(J16:J38)</f>
        <v>0</v>
      </c>
      <c r="K39" s="1152"/>
      <c r="L39" s="1150"/>
      <c r="M39" s="1151">
        <f>SUM(M16:M38)</f>
        <v>0</v>
      </c>
      <c r="N39" s="1152"/>
      <c r="O39" s="125"/>
      <c r="P39" s="125"/>
      <c r="Q39" s="125"/>
      <c r="R39" s="125"/>
    </row>
    <row r="40" spans="1:20" s="74" customFormat="1" ht="16.5" thickBot="1" x14ac:dyDescent="0.25">
      <c r="A40" s="871"/>
      <c r="B40" s="832"/>
      <c r="C40" s="832"/>
      <c r="D40" s="832"/>
      <c r="E40" s="833"/>
      <c r="F40" s="985" t="s">
        <v>81</v>
      </c>
      <c r="G40" s="834"/>
      <c r="H40" s="835" t="s">
        <v>1</v>
      </c>
      <c r="I40" s="970">
        <f>SUM(I33:I39)</f>
        <v>0</v>
      </c>
      <c r="J40" s="971"/>
      <c r="K40" s="972">
        <f>SUM(K33:K39)</f>
        <v>0</v>
      </c>
      <c r="L40" s="973"/>
      <c r="M40" s="971"/>
      <c r="N40" s="972">
        <f>SUM(N33:N39)</f>
        <v>0</v>
      </c>
      <c r="O40" s="125"/>
      <c r="P40" s="125"/>
      <c r="Q40" s="125"/>
      <c r="R40" s="125"/>
    </row>
    <row r="41" spans="1:20" s="74" customFormat="1" x14ac:dyDescent="0.2">
      <c r="A41" s="332"/>
      <c r="B41" s="332"/>
      <c r="C41" s="332"/>
      <c r="D41" s="332"/>
      <c r="E41" s="1098"/>
      <c r="F41" s="1099"/>
      <c r="G41" s="333"/>
      <c r="H41" s="333"/>
      <c r="I41" s="333"/>
      <c r="J41" s="333"/>
      <c r="K41" s="333"/>
      <c r="L41" s="333"/>
      <c r="M41" s="1097"/>
      <c r="N41" s="333"/>
      <c r="O41" s="937"/>
      <c r="P41" s="125"/>
      <c r="Q41" s="125"/>
      <c r="R41" s="125"/>
      <c r="S41" s="125"/>
      <c r="T41" s="125"/>
    </row>
    <row r="42" spans="1:20" s="74" customFormat="1" x14ac:dyDescent="0.2">
      <c r="A42" s="332"/>
      <c r="B42" s="332"/>
      <c r="C42" s="332"/>
      <c r="D42" s="332"/>
      <c r="E42" s="1098"/>
      <c r="F42" s="1099"/>
      <c r="G42" s="333"/>
      <c r="H42" s="333"/>
      <c r="I42" s="333"/>
      <c r="J42" s="333"/>
      <c r="K42" s="333"/>
      <c r="L42" s="333"/>
      <c r="M42" s="1097"/>
      <c r="N42" s="333"/>
      <c r="O42" s="937"/>
      <c r="P42" s="125"/>
      <c r="Q42" s="125"/>
      <c r="R42" s="125"/>
      <c r="S42" s="125"/>
      <c r="T42" s="125"/>
    </row>
    <row r="43" spans="1:20" s="74" customFormat="1" x14ac:dyDescent="0.2">
      <c r="A43" s="332"/>
      <c r="B43" s="332"/>
      <c r="C43" s="332"/>
      <c r="D43" s="332"/>
      <c r="E43" s="1098"/>
      <c r="F43" s="1099"/>
      <c r="G43" s="333"/>
      <c r="H43" s="333"/>
      <c r="I43" s="333"/>
      <c r="J43" s="333"/>
      <c r="K43" s="333"/>
      <c r="L43" s="333"/>
      <c r="M43" s="1097"/>
      <c r="N43" s="333"/>
      <c r="O43" s="937"/>
      <c r="P43" s="125"/>
      <c r="Q43" s="125"/>
      <c r="R43" s="125"/>
      <c r="S43" s="125"/>
      <c r="T43" s="125"/>
    </row>
    <row r="44" spans="1:20" s="74" customFormat="1" x14ac:dyDescent="0.2">
      <c r="A44" s="332"/>
      <c r="B44" s="332"/>
      <c r="C44" s="332"/>
      <c r="D44" s="332"/>
      <c r="E44" s="1098"/>
      <c r="F44" s="1099"/>
      <c r="G44" s="333"/>
      <c r="H44" s="333"/>
      <c r="I44" s="333"/>
      <c r="J44" s="333"/>
      <c r="K44" s="333"/>
      <c r="L44" s="333"/>
      <c r="M44" s="1097"/>
      <c r="N44" s="333"/>
      <c r="O44" s="937"/>
      <c r="P44" s="125"/>
      <c r="Q44" s="125"/>
      <c r="R44" s="125"/>
      <c r="S44" s="125"/>
      <c r="T44" s="125"/>
    </row>
    <row r="45" spans="1:20" s="74" customFormat="1" ht="15" customHeight="1" x14ac:dyDescent="0.2">
      <c r="A45" s="332"/>
      <c r="B45" s="332"/>
      <c r="C45" s="332"/>
      <c r="D45" s="332"/>
      <c r="E45" s="1098"/>
      <c r="F45" s="1099"/>
      <c r="G45" s="333"/>
      <c r="H45" s="333"/>
      <c r="I45" s="333"/>
      <c r="J45" s="333"/>
      <c r="K45" s="333"/>
      <c r="L45" s="333"/>
      <c r="M45" s="1097"/>
      <c r="N45" s="333"/>
      <c r="O45" s="937"/>
      <c r="P45" s="125"/>
      <c r="Q45" s="125"/>
      <c r="R45" s="125"/>
      <c r="S45" s="125"/>
      <c r="T45" s="125"/>
    </row>
    <row r="46" spans="1:20" s="74" customFormat="1" x14ac:dyDescent="0.2">
      <c r="A46" s="332"/>
      <c r="B46" s="332"/>
      <c r="C46" s="332"/>
      <c r="D46" s="332"/>
      <c r="E46" s="1098"/>
      <c r="F46" s="1099"/>
      <c r="G46" s="333"/>
      <c r="H46" s="333"/>
      <c r="I46" s="333"/>
      <c r="J46" s="333"/>
      <c r="K46" s="333"/>
      <c r="L46" s="333"/>
      <c r="M46" s="1097"/>
      <c r="N46" s="333"/>
      <c r="O46" s="939"/>
      <c r="P46" s="125"/>
      <c r="Q46" s="125"/>
      <c r="R46" s="125"/>
      <c r="S46" s="125"/>
      <c r="T46" s="125"/>
    </row>
  </sheetData>
  <mergeCells count="72">
    <mergeCell ref="I13:K13"/>
    <mergeCell ref="A3:N3"/>
    <mergeCell ref="I4:K4"/>
    <mergeCell ref="I6:K6"/>
    <mergeCell ref="I7:K7"/>
    <mergeCell ref="I8:K8"/>
    <mergeCell ref="I9:K9"/>
    <mergeCell ref="I10:K10"/>
    <mergeCell ref="I11:K11"/>
    <mergeCell ref="L13:N13"/>
    <mergeCell ref="A10:C10"/>
    <mergeCell ref="D10:E10"/>
    <mergeCell ref="F10:G10"/>
    <mergeCell ref="L10:M10"/>
    <mergeCell ref="A11:C11"/>
    <mergeCell ref="D11:E11"/>
    <mergeCell ref="B16:B19"/>
    <mergeCell ref="C24:D24"/>
    <mergeCell ref="E24:F28"/>
    <mergeCell ref="C29:F29"/>
    <mergeCell ref="C30:E30"/>
    <mergeCell ref="F30:F31"/>
    <mergeCell ref="C31:E31"/>
    <mergeCell ref="C18:F18"/>
    <mergeCell ref="C19:F19"/>
    <mergeCell ref="C34:F34"/>
    <mergeCell ref="C35:F35"/>
    <mergeCell ref="C36:F36"/>
    <mergeCell ref="C37:F37"/>
    <mergeCell ref="C38:F38"/>
    <mergeCell ref="C32:F32"/>
    <mergeCell ref="C33:F33"/>
    <mergeCell ref="C20:F20"/>
    <mergeCell ref="C21:F21"/>
    <mergeCell ref="C22:F22"/>
    <mergeCell ref="C23:F23"/>
    <mergeCell ref="C25:D25"/>
    <mergeCell ref="C26:D26"/>
    <mergeCell ref="C27:D27"/>
    <mergeCell ref="C28:D28"/>
    <mergeCell ref="C14:F15"/>
    <mergeCell ref="J14:J15"/>
    <mergeCell ref="M14:M15"/>
    <mergeCell ref="C16:F16"/>
    <mergeCell ref="C17:F17"/>
    <mergeCell ref="F11:G11"/>
    <mergeCell ref="L11:M11"/>
    <mergeCell ref="L8:M8"/>
    <mergeCell ref="A9:C9"/>
    <mergeCell ref="D9:E9"/>
    <mergeCell ref="F9:G9"/>
    <mergeCell ref="L9:M9"/>
    <mergeCell ref="A7:C7"/>
    <mergeCell ref="D7:E7"/>
    <mergeCell ref="F7:G7"/>
    <mergeCell ref="A8:C8"/>
    <mergeCell ref="D8:E8"/>
    <mergeCell ref="F8:G8"/>
    <mergeCell ref="A5:C5"/>
    <mergeCell ref="D5:E5"/>
    <mergeCell ref="F5:G5"/>
    <mergeCell ref="L5:M5"/>
    <mergeCell ref="A6:C6"/>
    <mergeCell ref="D6:E6"/>
    <mergeCell ref="F6:G6"/>
    <mergeCell ref="L6:M6"/>
    <mergeCell ref="I5:K5"/>
    <mergeCell ref="A1:N1"/>
    <mergeCell ref="A4:C4"/>
    <mergeCell ref="D4:E4"/>
    <mergeCell ref="F4:G4"/>
    <mergeCell ref="L4:M4"/>
  </mergeCells>
  <conditionalFormatting sqref="T12:U12 O13 T47:U65520">
    <cfRule type="cellIs" dxfId="170" priority="10" stopIfTrue="1" operator="notEqual">
      <formula>0</formula>
    </cfRule>
  </conditionalFormatting>
  <conditionalFormatting sqref="L16:N38">
    <cfRule type="cellIs" dxfId="169" priority="5" stopIfTrue="1" operator="equal">
      <formula>0</formula>
    </cfRule>
  </conditionalFormatting>
  <conditionalFormatting sqref="H29:H32 H16:H23">
    <cfRule type="expression" dxfId="168" priority="4" stopIfTrue="1">
      <formula>MOD(ROW(),2)=0</formula>
    </cfRule>
  </conditionalFormatting>
  <conditionalFormatting sqref="H24:H29">
    <cfRule type="expression" dxfId="167" priority="3" stopIfTrue="1">
      <formula>MOD(ROW(), 2)=0</formula>
    </cfRule>
  </conditionalFormatting>
  <conditionalFormatting sqref="I18:I33 J16:K38">
    <cfRule type="cellIs" dxfId="166" priority="2" operator="equal">
      <formula>0</formula>
    </cfRule>
  </conditionalFormatting>
  <conditionalFormatting sqref="E24">
    <cfRule type="cellIs" dxfId="165" priority="1" operator="notEqual">
      <formula>"GC 76000 PA ($" &amp;N11 &amp;" for every 10) breakdown per local board of supervisor resolution (BOS)."</formula>
    </cfRule>
  </conditionalFormatting>
  <dataValidations count="1">
    <dataValidation type="list" allowBlank="1" showInputMessage="1" showErrorMessage="1" sqref="D8:E8">
      <formula1>health</formula1>
    </dataValidation>
  </dataValidations>
  <pageMargins left="0.7" right="0.7" top="0.75" bottom="0.75" header="0.3" footer="0.3"/>
  <pageSetup scale="70" orientation="landscape" r:id="rId1"/>
  <ignoredErrors>
    <ignoredError sqref="N33 K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61" r:id="rId4" name="Button 1">
              <controlPr defaultSize="0" print="0" autoFill="0" autoPict="0" macro="[3]!mcrDisableTwoPercentUnprotect">
                <anchor moveWithCells="1">
                  <from>
                    <xdr:col>0</xdr:col>
                    <xdr:colOff>9525</xdr:colOff>
                    <xdr:row>13</xdr:row>
                    <xdr:rowOff>523875</xdr:rowOff>
                  </from>
                  <to>
                    <xdr:col>0</xdr:col>
                    <xdr:colOff>276225</xdr:colOff>
                    <xdr:row>15</xdr:row>
                    <xdr:rowOff>152400</xdr:rowOff>
                  </to>
                </anchor>
              </controlPr>
            </control>
          </mc:Choice>
        </mc:AlternateContent>
        <mc:AlternateContent xmlns:mc="http://schemas.openxmlformats.org/markup-compatibility/2006">
          <mc:Choice Requires="x14">
            <control shapeId="501762" r:id="rId5" name="Button 2">
              <controlPr defaultSize="0" print="0" autoFill="0" autoPict="0" macro="[3]!mcrEnableTwoPercentUnprotect">
                <anchor moveWithCells="1">
                  <from>
                    <xdr:col>0</xdr:col>
                    <xdr:colOff>0</xdr:colOff>
                    <xdr:row>13</xdr:row>
                    <xdr:rowOff>219075</xdr:rowOff>
                  </from>
                  <to>
                    <xdr:col>0</xdr:col>
                    <xdr:colOff>266700</xdr:colOff>
                    <xdr:row>16</xdr:row>
                    <xdr:rowOff>19050</xdr:rowOff>
                  </to>
                </anchor>
              </controlPr>
            </control>
          </mc:Choice>
        </mc:AlternateContent>
        <mc:AlternateContent xmlns:mc="http://schemas.openxmlformats.org/markup-compatibility/2006">
          <mc:Choice Requires="x14">
            <control shapeId="501768" r:id="rId6" name="Button 8">
              <controlPr defaultSize="0" print="0" autoFill="0" autoPict="0" macro="[4]!mcrDisableTwoPercentUnprotect">
                <anchor moveWithCells="1">
                  <from>
                    <xdr:col>0</xdr:col>
                    <xdr:colOff>9525</xdr:colOff>
                    <xdr:row>13</xdr:row>
                    <xdr:rowOff>523875</xdr:rowOff>
                  </from>
                  <to>
                    <xdr:col>0</xdr:col>
                    <xdr:colOff>276225</xdr:colOff>
                    <xdr:row>15</xdr:row>
                    <xdr:rowOff>142875</xdr:rowOff>
                  </to>
                </anchor>
              </controlPr>
            </control>
          </mc:Choice>
        </mc:AlternateContent>
        <mc:AlternateContent xmlns:mc="http://schemas.openxmlformats.org/markup-compatibility/2006">
          <mc:Choice Requires="x14">
            <control shapeId="501769" r:id="rId7" name="Button 9">
              <controlPr defaultSize="0" print="0" autoFill="0" autoPict="0" macro="[4]!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47"/>
  <sheetViews>
    <sheetView showGridLines="0" zoomScale="80" zoomScaleNormal="80" zoomScaleSheetLayoutView="55" workbookViewId="0">
      <selection activeCell="R20" sqref="R20"/>
    </sheetView>
  </sheetViews>
  <sheetFormatPr defaultRowHeight="15" x14ac:dyDescent="0.2"/>
  <cols>
    <col min="1" max="1" width="2.85546875" customWidth="1"/>
    <col min="2" max="2" width="4.28515625" style="1057" customWidth="1"/>
    <col min="3" max="3" width="6.28515625" style="1057" customWidth="1"/>
    <col min="4" max="4" width="14.140625" style="1057" customWidth="1"/>
    <col min="5" max="5" width="13.28515625" style="1057" customWidth="1"/>
    <col min="6" max="6" width="10.42578125" style="707" customWidth="1"/>
    <col min="7" max="7" width="21" style="124" customWidth="1"/>
    <col min="8" max="8" width="11" style="74" customWidth="1"/>
    <col min="9" max="9" width="8.28515625" style="74" hidden="1" customWidth="1"/>
    <col min="10" max="10" width="13.7109375" style="74" customWidth="1"/>
    <col min="11" max="11" width="16.140625" style="74" customWidth="1"/>
    <col min="12" max="12" width="13" style="85" customWidth="1"/>
    <col min="13" max="13" width="19.28515625" style="74" customWidth="1"/>
    <col min="14" max="14" width="22.28515625" style="74" customWidth="1"/>
    <col min="17" max="17" width="15.5703125" bestFit="1" customWidth="1"/>
  </cols>
  <sheetData>
    <row r="1" spans="2:14" ht="24.75" customHeight="1" thickBot="1" x14ac:dyDescent="0.25">
      <c r="B1" s="1442" t="s">
        <v>588</v>
      </c>
      <c r="C1" s="1443"/>
      <c r="D1" s="1443"/>
      <c r="E1" s="1443"/>
      <c r="F1" s="1443"/>
      <c r="G1" s="1443"/>
      <c r="H1" s="1443"/>
      <c r="I1" s="1443"/>
      <c r="J1" s="1443"/>
      <c r="K1" s="1443"/>
      <c r="L1" s="1444"/>
      <c r="M1" s="1444"/>
      <c r="N1" s="1445"/>
    </row>
    <row r="2" spans="2:14" ht="15.75" thickBot="1" x14ac:dyDescent="0.25">
      <c r="B2" s="1002"/>
      <c r="C2" s="1003"/>
      <c r="D2" s="1003"/>
      <c r="E2" s="1003"/>
      <c r="F2" s="1003"/>
      <c r="G2" s="1003"/>
      <c r="H2" s="1003"/>
      <c r="I2" s="1003"/>
      <c r="J2" s="1003"/>
      <c r="K2" s="1003"/>
      <c r="L2" s="1004"/>
      <c r="M2" s="1004"/>
      <c r="N2" s="1005"/>
    </row>
    <row r="3" spans="2:14" ht="15.75" customHeight="1" thickBot="1" x14ac:dyDescent="0.25">
      <c r="B3" s="1531" t="s">
        <v>234</v>
      </c>
      <c r="C3" s="1532"/>
      <c r="D3" s="1532"/>
      <c r="E3" s="1532"/>
      <c r="F3" s="1532"/>
      <c r="G3" s="1532"/>
      <c r="H3" s="1532"/>
      <c r="I3" s="1532"/>
      <c r="J3" s="1532"/>
      <c r="K3" s="1532"/>
      <c r="L3" s="1532"/>
      <c r="M3" s="1532"/>
      <c r="N3" s="1533"/>
    </row>
    <row r="4" spans="2:14" x14ac:dyDescent="0.2">
      <c r="B4" s="2136" t="s">
        <v>231</v>
      </c>
      <c r="C4" s="2137"/>
      <c r="D4" s="2137"/>
      <c r="E4" s="2144"/>
      <c r="F4" s="2145"/>
      <c r="G4" s="1520" t="s">
        <v>28</v>
      </c>
      <c r="H4" s="1521"/>
      <c r="I4" s="1104"/>
      <c r="J4" s="1522"/>
      <c r="K4" s="1523"/>
      <c r="L4" s="1520" t="s">
        <v>257</v>
      </c>
      <c r="M4" s="1524"/>
      <c r="N4" s="1014">
        <v>0</v>
      </c>
    </row>
    <row r="5" spans="2:14" x14ac:dyDescent="0.2">
      <c r="B5" s="1525" t="s">
        <v>4</v>
      </c>
      <c r="C5" s="1526"/>
      <c r="D5" s="1526"/>
      <c r="E5" s="1529"/>
      <c r="F5" s="1527"/>
      <c r="G5" s="1507" t="s">
        <v>244</v>
      </c>
      <c r="H5" s="1513"/>
      <c r="I5" s="1100"/>
      <c r="J5" s="1514"/>
      <c r="K5" s="1515"/>
      <c r="L5" s="1507" t="s">
        <v>22</v>
      </c>
      <c r="M5" s="1508"/>
      <c r="N5" s="1009">
        <v>0</v>
      </c>
    </row>
    <row r="6" spans="2:14" x14ac:dyDescent="0.2">
      <c r="B6" s="1525" t="s">
        <v>12</v>
      </c>
      <c r="C6" s="1526"/>
      <c r="D6" s="1526"/>
      <c r="E6" s="1529"/>
      <c r="F6" s="1530"/>
      <c r="G6" s="1507" t="s">
        <v>20</v>
      </c>
      <c r="H6" s="1513"/>
      <c r="I6" s="1100"/>
      <c r="J6" s="1514"/>
      <c r="K6" s="1515"/>
      <c r="L6" s="1507" t="s">
        <v>233</v>
      </c>
      <c r="M6" s="1508"/>
      <c r="N6" s="1101">
        <f>N4+N5*10</f>
        <v>0</v>
      </c>
    </row>
    <row r="7" spans="2:14" ht="15.75" thickBot="1" x14ac:dyDescent="0.25">
      <c r="B7" s="2100" t="s">
        <v>5</v>
      </c>
      <c r="C7" s="2101"/>
      <c r="D7" s="2101"/>
      <c r="E7" s="1872"/>
      <c r="F7" s="2102"/>
      <c r="G7" s="1516" t="s">
        <v>21</v>
      </c>
      <c r="H7" s="2103"/>
      <c r="I7" s="1102"/>
      <c r="J7" s="1487"/>
      <c r="K7" s="1488"/>
      <c r="L7" s="1485"/>
      <c r="M7" s="1528"/>
      <c r="N7" s="1103"/>
    </row>
    <row r="8" spans="2:14" ht="15.75" customHeight="1" x14ac:dyDescent="0.2">
      <c r="B8" s="2104" t="s">
        <v>54</v>
      </c>
      <c r="C8" s="2105"/>
      <c r="D8" s="2105"/>
      <c r="E8" s="2106">
        <v>0</v>
      </c>
      <c r="F8" s="2107"/>
      <c r="G8" s="1520" t="s">
        <v>253</v>
      </c>
      <c r="H8" s="1521"/>
      <c r="I8" s="1104"/>
      <c r="J8" s="1522"/>
      <c r="K8" s="1523"/>
      <c r="L8" s="1520" t="s">
        <v>257</v>
      </c>
      <c r="M8" s="1524"/>
      <c r="N8" s="1014">
        <v>0</v>
      </c>
    </row>
    <row r="9" spans="2:14" x14ac:dyDescent="0.2">
      <c r="B9" s="1518" t="s">
        <v>53</v>
      </c>
      <c r="C9" s="1519"/>
      <c r="D9" s="1519"/>
      <c r="E9" s="2098">
        <f>100%-E8</f>
        <v>1</v>
      </c>
      <c r="F9" s="2099"/>
      <c r="G9" s="1507" t="s">
        <v>244</v>
      </c>
      <c r="H9" s="1513"/>
      <c r="I9" s="1100"/>
      <c r="J9" s="1514"/>
      <c r="K9" s="1515"/>
      <c r="L9" s="1507" t="s">
        <v>22</v>
      </c>
      <c r="M9" s="1508"/>
      <c r="N9" s="1009"/>
    </row>
    <row r="10" spans="2:14" ht="19.5" customHeight="1" thickBot="1" x14ac:dyDescent="0.25">
      <c r="B10" s="1509" t="s">
        <v>276</v>
      </c>
      <c r="C10" s="1510"/>
      <c r="D10" s="1510"/>
      <c r="E10" s="1511">
        <f>N6+N10</f>
        <v>0</v>
      </c>
      <c r="F10" s="1512"/>
      <c r="G10" s="1507" t="s">
        <v>20</v>
      </c>
      <c r="H10" s="1513"/>
      <c r="I10" s="1100"/>
      <c r="J10" s="1514"/>
      <c r="K10" s="1515"/>
      <c r="L10" s="1516" t="s">
        <v>233</v>
      </c>
      <c r="M10" s="1517"/>
      <c r="N10" s="1105">
        <f>N8+N9*10</f>
        <v>0</v>
      </c>
    </row>
    <row r="11" spans="2:14" ht="19.5" customHeight="1" thickBot="1" x14ac:dyDescent="0.25">
      <c r="B11" s="1481" t="s">
        <v>277</v>
      </c>
      <c r="C11" s="1482"/>
      <c r="D11" s="1482"/>
      <c r="E11" s="1483">
        <f>ROUNDUP(E10/10,0)</f>
        <v>0</v>
      </c>
      <c r="F11" s="1484"/>
      <c r="G11" s="1485" t="s">
        <v>21</v>
      </c>
      <c r="H11" s="1486"/>
      <c r="I11" s="1102"/>
      <c r="J11" s="1487"/>
      <c r="K11" s="1488"/>
      <c r="L11" s="1489" t="s">
        <v>568</v>
      </c>
      <c r="M11" s="1490"/>
      <c r="N11" s="978">
        <f>'Local Penalties'!B8</f>
        <v>5</v>
      </c>
    </row>
    <row r="12" spans="2:14" ht="19.5" customHeight="1" thickBot="1" x14ac:dyDescent="0.25">
      <c r="B12" s="1491"/>
      <c r="C12" s="1492"/>
      <c r="D12" s="1492"/>
      <c r="E12" s="1492"/>
      <c r="F12" s="1492"/>
      <c r="G12" s="1492"/>
      <c r="H12" s="1492"/>
      <c r="I12" s="1492"/>
      <c r="J12" s="1492"/>
      <c r="K12" s="1492"/>
      <c r="L12" s="1492"/>
      <c r="M12" s="1492"/>
      <c r="N12" s="1493"/>
    </row>
    <row r="13" spans="2:14" ht="35.25" customHeight="1" thickBot="1" x14ac:dyDescent="0.25">
      <c r="B13" s="1022"/>
      <c r="C13" s="1023"/>
      <c r="D13" s="1023"/>
      <c r="E13" s="1023"/>
      <c r="F13" s="1023"/>
      <c r="G13" s="1024"/>
      <c r="H13" s="1025"/>
      <c r="I13" s="1026"/>
      <c r="J13" s="1027"/>
      <c r="K13" s="1027"/>
      <c r="L13" s="1474" t="s">
        <v>314</v>
      </c>
      <c r="M13" s="1475"/>
      <c r="N13" s="1029" t="s">
        <v>581</v>
      </c>
    </row>
    <row r="14" spans="2:14" ht="42" customHeight="1" x14ac:dyDescent="0.25">
      <c r="B14" s="1030">
        <v>0.02</v>
      </c>
      <c r="C14" s="1031" t="s">
        <v>58</v>
      </c>
      <c r="D14" s="1498" t="s">
        <v>226</v>
      </c>
      <c r="E14" s="1499"/>
      <c r="F14" s="1499"/>
      <c r="G14" s="1500"/>
      <c r="H14" s="1479" t="s">
        <v>249</v>
      </c>
      <c r="I14" s="1115" t="s">
        <v>0</v>
      </c>
      <c r="J14" s="1495" t="s">
        <v>269</v>
      </c>
      <c r="K14" s="1497" t="s">
        <v>294</v>
      </c>
      <c r="L14" s="1476" t="s">
        <v>6</v>
      </c>
      <c r="M14" s="1479" t="s">
        <v>590</v>
      </c>
      <c r="N14" s="1034" t="s">
        <v>313</v>
      </c>
    </row>
    <row r="15" spans="2:14" ht="18.75" customHeight="1" x14ac:dyDescent="0.25">
      <c r="B15" s="1035"/>
      <c r="C15" s="1036"/>
      <c r="D15" s="1501"/>
      <c r="E15" s="1502"/>
      <c r="F15" s="1502"/>
      <c r="G15" s="1503"/>
      <c r="H15" s="1494"/>
      <c r="I15" s="1217"/>
      <c r="J15" s="1496"/>
      <c r="K15" s="1494"/>
      <c r="L15" s="1477"/>
      <c r="M15" s="1480"/>
      <c r="N15" s="1039" t="e">
        <f>(N34-SUM(N24:N25))/(J34-SUM(K24:K25))</f>
        <v>#DIV/0!</v>
      </c>
    </row>
    <row r="16" spans="2:14" ht="13.5" customHeight="1" thickBot="1" x14ac:dyDescent="0.25">
      <c r="B16" s="275" t="s">
        <v>7</v>
      </c>
      <c r="C16" s="1040"/>
      <c r="D16" s="1504"/>
      <c r="E16" s="1505"/>
      <c r="F16" s="1505"/>
      <c r="G16" s="1506"/>
      <c r="H16" s="1478"/>
      <c r="I16" s="1047"/>
      <c r="J16" s="1478"/>
      <c r="K16" s="1478"/>
      <c r="L16" s="1478"/>
      <c r="M16" s="1478"/>
      <c r="N16" s="1217"/>
    </row>
    <row r="17" spans="2:14" ht="15.75" customHeight="1" x14ac:dyDescent="0.2">
      <c r="B17" s="821" t="s">
        <v>7</v>
      </c>
      <c r="C17" s="890"/>
      <c r="D17" s="1473" t="s">
        <v>291</v>
      </c>
      <c r="E17" s="1473"/>
      <c r="F17" s="1473"/>
      <c r="G17" s="1473"/>
      <c r="H17" s="948" t="s">
        <v>32</v>
      </c>
      <c r="I17" s="842" t="s">
        <v>14</v>
      </c>
      <c r="J17" s="843"/>
      <c r="K17" s="903">
        <f>(J46-J46)-L17</f>
        <v>0</v>
      </c>
      <c r="L17" s="949">
        <f>IF(B17="Y",(J34-K34)*2%,)</f>
        <v>0</v>
      </c>
      <c r="M17" s="2108">
        <f>(J46-K46)-L17</f>
        <v>0</v>
      </c>
      <c r="N17" s="2112">
        <f t="shared" ref="N17:N23" si="0">IF($N$46=0,,$N$15*M17)</f>
        <v>0</v>
      </c>
    </row>
    <row r="18" spans="2:14" ht="15" customHeight="1" x14ac:dyDescent="0.2">
      <c r="B18" s="821" t="s">
        <v>7</v>
      </c>
      <c r="C18" s="1470" t="s">
        <v>241</v>
      </c>
      <c r="D18" s="1472" t="s">
        <v>307</v>
      </c>
      <c r="E18" s="1472"/>
      <c r="F18" s="1472"/>
      <c r="G18" s="1472"/>
      <c r="H18" s="995" t="s">
        <v>32</v>
      </c>
      <c r="I18" s="844" t="s">
        <v>27</v>
      </c>
      <c r="J18" s="905">
        <f>($E$10)*E8</f>
        <v>0</v>
      </c>
      <c r="K18" s="997"/>
      <c r="L18" s="886">
        <f t="shared" ref="L18:L31" si="1">IF(B18="Y",K18* 2%,0)</f>
        <v>0</v>
      </c>
      <c r="M18" s="900">
        <f t="shared" ref="M18:M32" si="2">K18-L18</f>
        <v>0</v>
      </c>
      <c r="N18" s="941">
        <f t="shared" si="0"/>
        <v>0</v>
      </c>
    </row>
    <row r="19" spans="2:14" ht="15" customHeight="1" x14ac:dyDescent="0.2">
      <c r="B19" s="821" t="s">
        <v>7</v>
      </c>
      <c r="C19" s="1471"/>
      <c r="D19" s="1472" t="s">
        <v>306</v>
      </c>
      <c r="E19" s="1472"/>
      <c r="F19" s="1472"/>
      <c r="G19" s="1472"/>
      <c r="H19" s="995" t="s">
        <v>52</v>
      </c>
      <c r="I19" s="844" t="s">
        <v>25</v>
      </c>
      <c r="J19" s="905">
        <f>($E$10)*E9</f>
        <v>0</v>
      </c>
      <c r="K19" s="997">
        <f>IF(J19&gt;0,J19*98%,)</f>
        <v>0</v>
      </c>
      <c r="L19" s="886">
        <f t="shared" si="1"/>
        <v>0</v>
      </c>
      <c r="M19" s="900">
        <f t="shared" si="2"/>
        <v>0</v>
      </c>
      <c r="N19" s="941">
        <f t="shared" si="0"/>
        <v>0</v>
      </c>
    </row>
    <row r="20" spans="2:14" ht="15" customHeight="1" x14ac:dyDescent="0.2">
      <c r="B20" s="821" t="s">
        <v>7</v>
      </c>
      <c r="C20" s="75">
        <v>7</v>
      </c>
      <c r="D20" s="1463" t="s">
        <v>546</v>
      </c>
      <c r="E20" s="1463"/>
      <c r="F20" s="1463"/>
      <c r="G20" s="1463"/>
      <c r="H20" s="986" t="s">
        <v>31</v>
      </c>
      <c r="I20" s="84" t="s">
        <v>26</v>
      </c>
      <c r="J20" s="155">
        <f>$E$11*C20</f>
        <v>0</v>
      </c>
      <c r="K20" s="883"/>
      <c r="L20" s="886">
        <f t="shared" si="1"/>
        <v>0</v>
      </c>
      <c r="M20" s="900">
        <f t="shared" si="2"/>
        <v>0</v>
      </c>
      <c r="N20" s="941">
        <f t="shared" si="0"/>
        <v>0</v>
      </c>
    </row>
    <row r="21" spans="2:14" ht="15" customHeight="1" x14ac:dyDescent="0.2">
      <c r="B21" s="821" t="s">
        <v>7</v>
      </c>
      <c r="C21" s="75">
        <v>3</v>
      </c>
      <c r="D21" s="1463" t="s">
        <v>547</v>
      </c>
      <c r="E21" s="1463"/>
      <c r="F21" s="1463"/>
      <c r="G21" s="1463"/>
      <c r="H21" s="986" t="s">
        <v>32</v>
      </c>
      <c r="I21" s="84" t="s">
        <v>27</v>
      </c>
      <c r="J21" s="155">
        <f t="shared" ref="J21:J32" si="3">$E$11*C21</f>
        <v>0</v>
      </c>
      <c r="K21" s="883"/>
      <c r="L21" s="886">
        <f t="shared" si="1"/>
        <v>0</v>
      </c>
      <c r="M21" s="900">
        <f t="shared" si="2"/>
        <v>0</v>
      </c>
      <c r="N21" s="941">
        <f t="shared" si="0"/>
        <v>0</v>
      </c>
    </row>
    <row r="22" spans="2:14" ht="18.75" customHeight="1" x14ac:dyDescent="0.2">
      <c r="B22" s="821" t="s">
        <v>7</v>
      </c>
      <c r="C22" s="75">
        <v>1</v>
      </c>
      <c r="D22" s="1449" t="s">
        <v>216</v>
      </c>
      <c r="E22" s="1459"/>
      <c r="F22" s="1459"/>
      <c r="G22" s="1460"/>
      <c r="H22" s="986" t="s">
        <v>32</v>
      </c>
      <c r="I22" s="84" t="s">
        <v>55</v>
      </c>
      <c r="J22" s="155">
        <f t="shared" si="3"/>
        <v>0</v>
      </c>
      <c r="K22" s="883"/>
      <c r="L22" s="886">
        <f t="shared" si="1"/>
        <v>0</v>
      </c>
      <c r="M22" s="900">
        <f t="shared" si="2"/>
        <v>0</v>
      </c>
      <c r="N22" s="941">
        <f t="shared" si="0"/>
        <v>0</v>
      </c>
    </row>
    <row r="23" spans="2:14" ht="15" customHeight="1" x14ac:dyDescent="0.2">
      <c r="B23" s="821" t="s">
        <v>7</v>
      </c>
      <c r="C23" s="75">
        <v>4</v>
      </c>
      <c r="D23" s="1449" t="s">
        <v>466</v>
      </c>
      <c r="E23" s="1459"/>
      <c r="F23" s="1459"/>
      <c r="G23" s="1460"/>
      <c r="H23" s="986" t="s">
        <v>31</v>
      </c>
      <c r="I23" s="84" t="s">
        <v>72</v>
      </c>
      <c r="J23" s="155">
        <f t="shared" si="3"/>
        <v>0</v>
      </c>
      <c r="K23" s="883"/>
      <c r="L23" s="886">
        <f t="shared" si="1"/>
        <v>0</v>
      </c>
      <c r="M23" s="900">
        <f t="shared" si="2"/>
        <v>0</v>
      </c>
      <c r="N23" s="941">
        <f t="shared" si="0"/>
        <v>0</v>
      </c>
    </row>
    <row r="24" spans="2:14" ht="18.75" customHeight="1" x14ac:dyDescent="0.2">
      <c r="B24" s="821" t="s">
        <v>7</v>
      </c>
      <c r="C24" s="782">
        <v>0</v>
      </c>
      <c r="D24" s="1463" t="s">
        <v>217</v>
      </c>
      <c r="E24" s="1463"/>
      <c r="F24" s="1464" t="str">
        <f>IF(SUM(C24:C28)=N11,"GC 76000 PA ($" &amp;N11 &amp; " for every 10) breakdown per local board of supervisor resolution (BOS).","ERROR! GC 76000 PA total is not $" &amp;N11&amp; ". Check Court's board resolution.")</f>
        <v>ERROR! GC 76000 PA total is not $5. Check Court's board resolution.</v>
      </c>
      <c r="G24" s="1465"/>
      <c r="H24" s="986" t="s">
        <v>32</v>
      </c>
      <c r="I24" s="84" t="s">
        <v>64</v>
      </c>
      <c r="J24" s="155">
        <f t="shared" si="3"/>
        <v>0</v>
      </c>
      <c r="K24" s="997">
        <f>IF(C24&gt;0,1,)</f>
        <v>0</v>
      </c>
      <c r="L24" s="886">
        <f t="shared" si="1"/>
        <v>0</v>
      </c>
      <c r="M24" s="900">
        <f t="shared" si="2"/>
        <v>0</v>
      </c>
      <c r="N24" s="941">
        <f>IF(Q27=0,,K24)</f>
        <v>0</v>
      </c>
    </row>
    <row r="25" spans="2:14" ht="18.75" customHeight="1" x14ac:dyDescent="0.2">
      <c r="B25" s="821" t="s">
        <v>7</v>
      </c>
      <c r="C25" s="782">
        <v>0</v>
      </c>
      <c r="D25" s="1463" t="s">
        <v>218</v>
      </c>
      <c r="E25" s="1463"/>
      <c r="F25" s="1466"/>
      <c r="G25" s="1467"/>
      <c r="H25" s="986" t="s">
        <v>32</v>
      </c>
      <c r="I25" s="84" t="s">
        <v>35</v>
      </c>
      <c r="J25" s="155">
        <f t="shared" si="3"/>
        <v>0</v>
      </c>
      <c r="K25" s="997">
        <f>IF(C25&gt;0,1,)</f>
        <v>0</v>
      </c>
      <c r="L25" s="886">
        <f t="shared" si="1"/>
        <v>0</v>
      </c>
      <c r="M25" s="900">
        <f t="shared" si="2"/>
        <v>0</v>
      </c>
      <c r="N25" s="941">
        <f>IF($N$46=0,,K25)</f>
        <v>0</v>
      </c>
    </row>
    <row r="26" spans="2:14" ht="18" customHeight="1" x14ac:dyDescent="0.2">
      <c r="B26" s="821" t="s">
        <v>7</v>
      </c>
      <c r="C26" s="782">
        <v>0</v>
      </c>
      <c r="D26" s="1463" t="s">
        <v>219</v>
      </c>
      <c r="E26" s="1463"/>
      <c r="F26" s="1466"/>
      <c r="G26" s="1467"/>
      <c r="H26" s="986" t="s">
        <v>32</v>
      </c>
      <c r="I26" s="84" t="s">
        <v>65</v>
      </c>
      <c r="J26" s="155">
        <f t="shared" si="3"/>
        <v>0</v>
      </c>
      <c r="K26" s="997">
        <f>IF(C26&gt;0,$E$11*2,)</f>
        <v>0</v>
      </c>
      <c r="L26" s="886">
        <f t="shared" si="1"/>
        <v>0</v>
      </c>
      <c r="M26" s="900">
        <f t="shared" si="2"/>
        <v>0</v>
      </c>
      <c r="N26" s="941">
        <f t="shared" ref="N26:N32" si="4">IF($N$46=0,,$N$15*M26)</f>
        <v>0</v>
      </c>
    </row>
    <row r="27" spans="2:14" ht="17.25" customHeight="1" x14ac:dyDescent="0.2">
      <c r="B27" s="821" t="s">
        <v>7</v>
      </c>
      <c r="C27" s="782">
        <v>0</v>
      </c>
      <c r="D27" s="1463" t="s">
        <v>401</v>
      </c>
      <c r="E27" s="1463"/>
      <c r="F27" s="1466"/>
      <c r="G27" s="1467"/>
      <c r="H27" s="986" t="s">
        <v>32</v>
      </c>
      <c r="I27" s="84" t="s">
        <v>65</v>
      </c>
      <c r="J27" s="155">
        <f>$E$11*C27</f>
        <v>0</v>
      </c>
      <c r="K27" s="883"/>
      <c r="L27" s="886">
        <f>IF(B27="Y",K27* 2%,0)</f>
        <v>0</v>
      </c>
      <c r="M27" s="900">
        <f>K27-L27</f>
        <v>0</v>
      </c>
      <c r="N27" s="941">
        <f t="shared" si="4"/>
        <v>0</v>
      </c>
    </row>
    <row r="28" spans="2:14" ht="15" customHeight="1" x14ac:dyDescent="0.2">
      <c r="B28" s="821" t="s">
        <v>7</v>
      </c>
      <c r="C28" s="782">
        <v>0</v>
      </c>
      <c r="D28" s="1463" t="s">
        <v>254</v>
      </c>
      <c r="E28" s="1463"/>
      <c r="F28" s="1468"/>
      <c r="G28" s="1469"/>
      <c r="H28" s="986" t="s">
        <v>32</v>
      </c>
      <c r="I28" s="84"/>
      <c r="J28" s="155">
        <f>$E$11*C28</f>
        <v>0</v>
      </c>
      <c r="K28" s="883"/>
      <c r="L28" s="886">
        <f t="shared" si="1"/>
        <v>0</v>
      </c>
      <c r="M28" s="900">
        <f t="shared" si="2"/>
        <v>0</v>
      </c>
      <c r="N28" s="941">
        <f t="shared" si="4"/>
        <v>0</v>
      </c>
    </row>
    <row r="29" spans="2:14" ht="15" customHeight="1" x14ac:dyDescent="0.2">
      <c r="B29" s="821" t="s">
        <v>7</v>
      </c>
      <c r="C29" s="782">
        <v>0</v>
      </c>
      <c r="D29" s="1449" t="s">
        <v>286</v>
      </c>
      <c r="E29" s="1459"/>
      <c r="F29" s="1459"/>
      <c r="G29" s="1460"/>
      <c r="H29" s="986" t="s">
        <v>32</v>
      </c>
      <c r="I29" s="84" t="s">
        <v>36</v>
      </c>
      <c r="J29" s="155">
        <f t="shared" si="3"/>
        <v>0</v>
      </c>
      <c r="K29" s="883">
        <f>IF(C29&gt;0,$E$11*2,)</f>
        <v>0</v>
      </c>
      <c r="L29" s="886">
        <f t="shared" si="1"/>
        <v>0</v>
      </c>
      <c r="M29" s="900">
        <f t="shared" si="2"/>
        <v>0</v>
      </c>
      <c r="N29" s="941">
        <f t="shared" si="4"/>
        <v>0</v>
      </c>
    </row>
    <row r="30" spans="2:14" ht="15" customHeight="1" x14ac:dyDescent="0.2">
      <c r="B30" s="821" t="s">
        <v>7</v>
      </c>
      <c r="C30" s="75"/>
      <c r="D30" s="1449" t="s">
        <v>385</v>
      </c>
      <c r="E30" s="1459"/>
      <c r="F30" s="1459"/>
      <c r="G30" s="1460"/>
      <c r="H30" s="986" t="s">
        <v>31</v>
      </c>
      <c r="I30" s="84" t="s">
        <v>39</v>
      </c>
      <c r="J30" s="2159">
        <v>0</v>
      </c>
      <c r="K30" s="883"/>
      <c r="L30" s="886">
        <f>IF(B30="Y", IF($L$15="BASE-UP",#REF!*2%, IF($L$15="TOP-DOWN",#REF!* 2%,0)),0)</f>
        <v>0</v>
      </c>
      <c r="M30" s="900">
        <f>K30-L30</f>
        <v>0</v>
      </c>
      <c r="N30" s="941">
        <f t="shared" si="4"/>
        <v>0</v>
      </c>
    </row>
    <row r="31" spans="2:14" ht="18.75" customHeight="1" x14ac:dyDescent="0.2">
      <c r="B31" s="821" t="s">
        <v>7</v>
      </c>
      <c r="C31" s="782">
        <v>0</v>
      </c>
      <c r="D31" s="1449" t="s">
        <v>555</v>
      </c>
      <c r="E31" s="1459"/>
      <c r="F31" s="1460"/>
      <c r="G31" s="1461" t="s">
        <v>281</v>
      </c>
      <c r="H31" s="986" t="s">
        <v>31</v>
      </c>
      <c r="I31" s="84" t="s">
        <v>37</v>
      </c>
      <c r="J31" s="155">
        <f t="shared" si="3"/>
        <v>0</v>
      </c>
      <c r="K31" s="883">
        <f>J31</f>
        <v>0</v>
      </c>
      <c r="L31" s="886">
        <f t="shared" si="1"/>
        <v>0</v>
      </c>
      <c r="M31" s="900">
        <f t="shared" si="2"/>
        <v>0</v>
      </c>
      <c r="N31" s="941">
        <f t="shared" si="4"/>
        <v>0</v>
      </c>
    </row>
    <row r="32" spans="2:14" ht="15" customHeight="1" x14ac:dyDescent="0.2">
      <c r="B32" s="821" t="s">
        <v>7</v>
      </c>
      <c r="C32" s="179">
        <f>5-C31</f>
        <v>5</v>
      </c>
      <c r="D32" s="1449" t="s">
        <v>556</v>
      </c>
      <c r="E32" s="1459"/>
      <c r="F32" s="1460"/>
      <c r="G32" s="1462"/>
      <c r="H32" s="986" t="s">
        <v>31</v>
      </c>
      <c r="I32" s="84" t="s">
        <v>197</v>
      </c>
      <c r="J32" s="155">
        <f t="shared" si="3"/>
        <v>0</v>
      </c>
      <c r="K32" s="883">
        <f>J32</f>
        <v>0</v>
      </c>
      <c r="L32" s="886">
        <f>IF(B32="Y",#REF!* 2%,0)</f>
        <v>0</v>
      </c>
      <c r="M32" s="900">
        <f t="shared" si="2"/>
        <v>0</v>
      </c>
      <c r="N32" s="941">
        <f t="shared" si="4"/>
        <v>0</v>
      </c>
    </row>
    <row r="33" spans="2:17" s="901" customFormat="1" ht="15" customHeight="1" x14ac:dyDescent="0.2">
      <c r="B33" s="821" t="s">
        <v>7</v>
      </c>
      <c r="C33" s="75"/>
      <c r="D33" s="1449" t="s">
        <v>220</v>
      </c>
      <c r="E33" s="1459"/>
      <c r="F33" s="1459"/>
      <c r="G33" s="1460"/>
      <c r="H33" s="986" t="s">
        <v>31</v>
      </c>
      <c r="I33" s="84" t="s">
        <v>10</v>
      </c>
      <c r="J33" s="155">
        <f>E10*20%</f>
        <v>0</v>
      </c>
      <c r="K33" s="883">
        <f>J33</f>
        <v>0</v>
      </c>
      <c r="L33" s="886"/>
      <c r="M33" s="900">
        <f>K33-L33</f>
        <v>0</v>
      </c>
      <c r="N33" s="941">
        <f>IF($N$46=0,,K33)</f>
        <v>0</v>
      </c>
    </row>
    <row r="34" spans="2:17" ht="15" customHeight="1" x14ac:dyDescent="0.2">
      <c r="B34" s="821"/>
      <c r="C34" s="86"/>
      <c r="D34" s="1456" t="s">
        <v>221</v>
      </c>
      <c r="E34" s="1457"/>
      <c r="F34" s="1457"/>
      <c r="G34" s="1458"/>
      <c r="H34" s="703"/>
      <c r="I34" s="88"/>
      <c r="J34" s="157">
        <f>SUM(J14:J33)</f>
        <v>0</v>
      </c>
      <c r="K34" s="875">
        <f>SUM(K14:K33)</f>
        <v>0</v>
      </c>
      <c r="L34" s="887">
        <f>SUM(L14:L32)</f>
        <v>0</v>
      </c>
      <c r="M34" s="887">
        <f>SUM(M17:M33)</f>
        <v>0</v>
      </c>
      <c r="N34" s="943">
        <f>IF($N$46=0,,N46-SUM(N35:N43))</f>
        <v>0</v>
      </c>
    </row>
    <row r="35" spans="2:17" ht="15" customHeight="1" x14ac:dyDescent="0.2">
      <c r="B35" s="821" t="s">
        <v>7</v>
      </c>
      <c r="C35" s="75"/>
      <c r="D35" s="1449" t="s">
        <v>419</v>
      </c>
      <c r="E35" s="1459"/>
      <c r="F35" s="1459"/>
      <c r="G35" s="1460"/>
      <c r="H35" s="893" t="s">
        <v>31</v>
      </c>
      <c r="I35" s="84"/>
      <c r="J35" s="2159">
        <v>0</v>
      </c>
      <c r="K35" s="883">
        <f>J35</f>
        <v>0</v>
      </c>
      <c r="L35" s="886">
        <f>IF(B35="Y", IF($L$15="BASE-UP",#REF!*2%, IF($L$15="TOP-DOWN",#REF!* 2%,0)),0)</f>
        <v>0</v>
      </c>
      <c r="M35" s="900">
        <f>K35-L35</f>
        <v>0</v>
      </c>
      <c r="N35" s="941">
        <f t="shared" ref="N35:N42" si="5">IF($N$46=0,,K35)</f>
        <v>0</v>
      </c>
    </row>
    <row r="36" spans="2:17" ht="18" x14ac:dyDescent="0.25">
      <c r="B36" s="891" t="s">
        <v>7</v>
      </c>
      <c r="C36" s="892"/>
      <c r="D36" s="1450" t="s">
        <v>259</v>
      </c>
      <c r="E36" s="1451"/>
      <c r="F36" s="1451"/>
      <c r="G36" s="1452"/>
      <c r="H36" s="893" t="s">
        <v>31</v>
      </c>
      <c r="I36" s="894" t="s">
        <v>197</v>
      </c>
      <c r="J36" s="2161">
        <v>0</v>
      </c>
      <c r="K36" s="895">
        <f t="shared" ref="K36:K42" si="6">J36</f>
        <v>0</v>
      </c>
      <c r="L36" s="896">
        <f>IF(B36="Y", IF($L$15="BASE-UP",#REF!*2%, IF($L$15="TOP-DOWN",#REF!* 2%,0)),0)</f>
        <v>0</v>
      </c>
      <c r="M36" s="2109">
        <f t="shared" ref="M36:M43" si="7">K36-L36</f>
        <v>0</v>
      </c>
      <c r="N36" s="2113">
        <f t="shared" si="5"/>
        <v>0</v>
      </c>
      <c r="Q36" s="946"/>
    </row>
    <row r="37" spans="2:17" ht="18" x14ac:dyDescent="0.25">
      <c r="B37" s="899" t="s">
        <v>7</v>
      </c>
      <c r="C37" s="75"/>
      <c r="D37" s="1446" t="s">
        <v>292</v>
      </c>
      <c r="E37" s="1447"/>
      <c r="F37" s="1447"/>
      <c r="G37" s="1448"/>
      <c r="H37" s="704" t="s">
        <v>32</v>
      </c>
      <c r="I37" s="876"/>
      <c r="J37" s="2138">
        <v>0</v>
      </c>
      <c r="K37" s="883">
        <f t="shared" si="6"/>
        <v>0</v>
      </c>
      <c r="L37" s="900">
        <f>IF(B37="Y", IF($L$15="BASE-UP",#REF!*2%, IF($L$15="TOP-DOWN",#REF!* 2%,0)),0)</f>
        <v>0</v>
      </c>
      <c r="M37" s="900">
        <f t="shared" si="7"/>
        <v>0</v>
      </c>
      <c r="N37" s="941">
        <f t="shared" si="5"/>
        <v>0</v>
      </c>
      <c r="Q37" s="946"/>
    </row>
    <row r="38" spans="2:17" x14ac:dyDescent="0.2">
      <c r="B38" s="821" t="s">
        <v>7</v>
      </c>
      <c r="C38" s="69"/>
      <c r="D38" s="1453" t="s">
        <v>293</v>
      </c>
      <c r="E38" s="1454"/>
      <c r="F38" s="1454"/>
      <c r="G38" s="1455"/>
      <c r="H38" s="897" t="s">
        <v>31</v>
      </c>
      <c r="I38" s="898"/>
      <c r="J38" s="2139">
        <v>0</v>
      </c>
      <c r="K38" s="162">
        <f t="shared" si="6"/>
        <v>0</v>
      </c>
      <c r="L38" s="886">
        <f>IF(B38="Y", IF($L$15="BASE-UP",#REF!*2%, IF($L$15="TOP-DOWN",#REF!* 2%,0)),0)</f>
        <v>0</v>
      </c>
      <c r="M38" s="886">
        <f t="shared" si="7"/>
        <v>0</v>
      </c>
      <c r="N38" s="940">
        <f t="shared" si="5"/>
        <v>0</v>
      </c>
    </row>
    <row r="39" spans="2:17" x14ac:dyDescent="0.2">
      <c r="B39" s="821" t="s">
        <v>7</v>
      </c>
      <c r="C39" s="75"/>
      <c r="D39" s="1446" t="s">
        <v>427</v>
      </c>
      <c r="E39" s="1447"/>
      <c r="F39" s="1447"/>
      <c r="G39" s="1448"/>
      <c r="H39" s="704" t="s">
        <v>230</v>
      </c>
      <c r="I39" s="876"/>
      <c r="J39" s="2138">
        <v>0</v>
      </c>
      <c r="K39" s="883">
        <f t="shared" si="6"/>
        <v>0</v>
      </c>
      <c r="L39" s="886">
        <f>IF(B39="Y", IF($L$15="BASE-UP",#REF!*2%, IF($L$15="TOP-DOWN",#REF!* 2%,0)),0)</f>
        <v>0</v>
      </c>
      <c r="M39" s="900">
        <f>K39-L39</f>
        <v>0</v>
      </c>
      <c r="N39" s="941">
        <f t="shared" si="5"/>
        <v>0</v>
      </c>
    </row>
    <row r="40" spans="2:17" ht="15" customHeight="1" x14ac:dyDescent="0.2">
      <c r="B40" s="821" t="s">
        <v>7</v>
      </c>
      <c r="C40" s="75"/>
      <c r="D40" s="1449" t="s">
        <v>551</v>
      </c>
      <c r="E40" s="1447"/>
      <c r="F40" s="1447"/>
      <c r="G40" s="1448"/>
      <c r="H40" s="704" t="s">
        <v>31</v>
      </c>
      <c r="I40" s="876"/>
      <c r="J40" s="2138">
        <v>0</v>
      </c>
      <c r="K40" s="883">
        <f t="shared" si="6"/>
        <v>0</v>
      </c>
      <c r="L40" s="886"/>
      <c r="M40" s="900">
        <f t="shared" si="7"/>
        <v>0</v>
      </c>
      <c r="N40" s="941">
        <f t="shared" si="5"/>
        <v>0</v>
      </c>
    </row>
    <row r="41" spans="2:17" x14ac:dyDescent="0.2">
      <c r="B41" s="821" t="s">
        <v>7</v>
      </c>
      <c r="C41" s="93"/>
      <c r="D41" s="1446" t="s">
        <v>421</v>
      </c>
      <c r="E41" s="1447"/>
      <c r="F41" s="1447"/>
      <c r="G41" s="1448"/>
      <c r="H41" s="704" t="s">
        <v>230</v>
      </c>
      <c r="I41" s="876" t="s">
        <v>24</v>
      </c>
      <c r="J41" s="2138">
        <v>0</v>
      </c>
      <c r="K41" s="883">
        <f t="shared" si="6"/>
        <v>0</v>
      </c>
      <c r="L41" s="886">
        <f>IF(B41="Y", IF($L$15="BASE-UP",#REF!*2%, IF($L$15="TOP-DOWN",#REF!* 2%,0)),0)</f>
        <v>0</v>
      </c>
      <c r="M41" s="900">
        <f t="shared" si="7"/>
        <v>0</v>
      </c>
      <c r="N41" s="941">
        <f t="shared" si="5"/>
        <v>0</v>
      </c>
    </row>
    <row r="42" spans="2:17" x14ac:dyDescent="0.2">
      <c r="B42" s="821" t="s">
        <v>7</v>
      </c>
      <c r="C42" s="93"/>
      <c r="D42" s="1446" t="s">
        <v>225</v>
      </c>
      <c r="E42" s="1447"/>
      <c r="F42" s="1447"/>
      <c r="G42" s="1448"/>
      <c r="H42" s="704" t="s">
        <v>31</v>
      </c>
      <c r="I42" s="876" t="s">
        <v>80</v>
      </c>
      <c r="J42" s="2138">
        <v>0</v>
      </c>
      <c r="K42" s="883">
        <f t="shared" si="6"/>
        <v>0</v>
      </c>
      <c r="L42" s="886">
        <f>IF(B42="Y", IF($L$15="BASE-UP",#REF!*2%, IF($L$15="TOP-DOWN",#REF!* 2%,0)),0)</f>
        <v>0</v>
      </c>
      <c r="M42" s="900">
        <f t="shared" si="7"/>
        <v>0</v>
      </c>
      <c r="N42" s="941">
        <f t="shared" si="5"/>
        <v>0</v>
      </c>
    </row>
    <row r="43" spans="2:17" x14ac:dyDescent="0.2">
      <c r="B43" s="821"/>
      <c r="C43" s="93"/>
      <c r="D43" s="1446" t="s">
        <v>224</v>
      </c>
      <c r="E43" s="1447"/>
      <c r="F43" s="1447"/>
      <c r="G43" s="1448"/>
      <c r="H43" s="704" t="s">
        <v>31</v>
      </c>
      <c r="I43" s="876" t="s">
        <v>41</v>
      </c>
      <c r="J43" s="2140"/>
      <c r="K43" s="884"/>
      <c r="L43" s="888"/>
      <c r="M43" s="900">
        <f t="shared" si="7"/>
        <v>0</v>
      </c>
      <c r="N43" s="941">
        <f>IF($R$46=0,,G43)</f>
        <v>0</v>
      </c>
    </row>
    <row r="44" spans="2:17" x14ac:dyDescent="0.2">
      <c r="B44" s="825"/>
      <c r="C44" s="877"/>
      <c r="D44" s="877"/>
      <c r="E44" s="877"/>
      <c r="F44" s="878"/>
      <c r="G44" s="878"/>
      <c r="H44" s="879"/>
      <c r="I44" s="879"/>
      <c r="J44" s="879"/>
      <c r="K44" s="880"/>
      <c r="L44" s="889">
        <f>SUM(L18:L43)</f>
        <v>0</v>
      </c>
      <c r="M44" s="2110"/>
      <c r="N44" s="2114"/>
    </row>
    <row r="45" spans="2:17" ht="15" hidden="1" customHeight="1" x14ac:dyDescent="0.2">
      <c r="B45" s="830" t="s">
        <v>8</v>
      </c>
      <c r="C45" s="877"/>
      <c r="D45" s="877"/>
      <c r="E45" s="877"/>
      <c r="F45" s="878"/>
      <c r="G45" s="878"/>
      <c r="H45" s="879"/>
      <c r="I45" s="879"/>
      <c r="J45" s="879"/>
      <c r="K45" s="880"/>
      <c r="L45" s="889"/>
      <c r="M45" s="2110"/>
      <c r="N45" s="2115"/>
    </row>
    <row r="46" spans="2:17" ht="15.75" thickBot="1" x14ac:dyDescent="0.25">
      <c r="B46" s="831"/>
      <c r="C46" s="1106"/>
      <c r="D46" s="1106"/>
      <c r="E46" s="1106"/>
      <c r="F46" s="1107"/>
      <c r="G46" s="1108" t="s">
        <v>81</v>
      </c>
      <c r="H46" s="1109"/>
      <c r="I46" s="1110" t="s">
        <v>1</v>
      </c>
      <c r="J46" s="1111">
        <f>SUM(J34:J44)</f>
        <v>0</v>
      </c>
      <c r="K46" s="1112">
        <f>SUM(K34:K43)</f>
        <v>0</v>
      </c>
      <c r="L46" s="1113"/>
      <c r="M46" s="2111">
        <f>SUM(M34:M44)</f>
        <v>0</v>
      </c>
      <c r="N46" s="2116">
        <v>0</v>
      </c>
    </row>
    <row r="47" spans="2:17" x14ac:dyDescent="0.2">
      <c r="N47" s="1114"/>
    </row>
  </sheetData>
  <mergeCells count="80">
    <mergeCell ref="B3:N3"/>
    <mergeCell ref="B4:D4"/>
    <mergeCell ref="E4:F4"/>
    <mergeCell ref="G4:H4"/>
    <mergeCell ref="J4:K4"/>
    <mergeCell ref="L4:M4"/>
    <mergeCell ref="B5:D5"/>
    <mergeCell ref="E5:F5"/>
    <mergeCell ref="G5:H5"/>
    <mergeCell ref="J5:K5"/>
    <mergeCell ref="L5:M5"/>
    <mergeCell ref="B6:D6"/>
    <mergeCell ref="E6:F6"/>
    <mergeCell ref="G6:H6"/>
    <mergeCell ref="J6:K6"/>
    <mergeCell ref="L6:M6"/>
    <mergeCell ref="B7:D7"/>
    <mergeCell ref="E7:F7"/>
    <mergeCell ref="G7:H7"/>
    <mergeCell ref="J7:K7"/>
    <mergeCell ref="L7:M7"/>
    <mergeCell ref="B8:D8"/>
    <mergeCell ref="E8:F8"/>
    <mergeCell ref="G8:H8"/>
    <mergeCell ref="J8:K8"/>
    <mergeCell ref="L8:M8"/>
    <mergeCell ref="L9:M9"/>
    <mergeCell ref="B10:D10"/>
    <mergeCell ref="E10:F10"/>
    <mergeCell ref="G10:H10"/>
    <mergeCell ref="J10:K10"/>
    <mergeCell ref="L10:M10"/>
    <mergeCell ref="B9:D9"/>
    <mergeCell ref="E9:F9"/>
    <mergeCell ref="G9:H9"/>
    <mergeCell ref="J9:K9"/>
    <mergeCell ref="D17:G17"/>
    <mergeCell ref="L13:M13"/>
    <mergeCell ref="L14:L16"/>
    <mergeCell ref="M14:M16"/>
    <mergeCell ref="B11:D11"/>
    <mergeCell ref="E11:F11"/>
    <mergeCell ref="G11:H11"/>
    <mergeCell ref="J11:K11"/>
    <mergeCell ref="L11:M11"/>
    <mergeCell ref="B12:N12"/>
    <mergeCell ref="H14:H16"/>
    <mergeCell ref="J14:J16"/>
    <mergeCell ref="K14:K16"/>
    <mergeCell ref="D14:G16"/>
    <mergeCell ref="D21:G21"/>
    <mergeCell ref="D22:G22"/>
    <mergeCell ref="D23:G23"/>
    <mergeCell ref="C18:C19"/>
    <mergeCell ref="D18:G18"/>
    <mergeCell ref="D19:G19"/>
    <mergeCell ref="D20:G20"/>
    <mergeCell ref="D32:F32"/>
    <mergeCell ref="D24:E24"/>
    <mergeCell ref="F24:G28"/>
    <mergeCell ref="D25:E25"/>
    <mergeCell ref="D26:E26"/>
    <mergeCell ref="D27:E27"/>
    <mergeCell ref="D28:E28"/>
    <mergeCell ref="B1:N1"/>
    <mergeCell ref="D42:G42"/>
    <mergeCell ref="D43:G43"/>
    <mergeCell ref="D39:G39"/>
    <mergeCell ref="D40:G40"/>
    <mergeCell ref="D41:G41"/>
    <mergeCell ref="D36:G36"/>
    <mergeCell ref="D37:G37"/>
    <mergeCell ref="D38:G38"/>
    <mergeCell ref="D34:G34"/>
    <mergeCell ref="D33:G33"/>
    <mergeCell ref="D35:G35"/>
    <mergeCell ref="D29:G29"/>
    <mergeCell ref="D30:G30"/>
    <mergeCell ref="D31:F31"/>
    <mergeCell ref="G31:G32"/>
  </mergeCells>
  <conditionalFormatting sqref="J27:M27 J18:K26 J28:K29 K30 J31:K33 L17:M26 L35:N43 L28:M33 N17:N33">
    <cfRule type="cellIs" dxfId="164" priority="6" stopIfTrue="1" operator="equal">
      <formula>0</formula>
    </cfRule>
  </conditionalFormatting>
  <conditionalFormatting sqref="I17:I23 I29 I31:I33">
    <cfRule type="expression" dxfId="163" priority="5" stopIfTrue="1">
      <formula>MOD(ROW(),2)=0</formula>
    </cfRule>
  </conditionalFormatting>
  <conditionalFormatting sqref="I24:I29">
    <cfRule type="expression" dxfId="162" priority="4" stopIfTrue="1">
      <formula>MOD(ROW(), 2)=0</formula>
    </cfRule>
  </conditionalFormatting>
  <conditionalFormatting sqref="N17:N33 N35:N43">
    <cfRule type="cellIs" dxfId="161" priority="3" operator="equal">
      <formula>0</formula>
    </cfRule>
  </conditionalFormatting>
  <conditionalFormatting sqref="F24">
    <cfRule type="cellIs" dxfId="160" priority="2" operator="notEqual">
      <formula>"GC 76000 PA ($" &amp;N11 &amp;" for every 10) breakdown per local board of supervisor resolution (BOS)."</formula>
    </cfRule>
  </conditionalFormatting>
  <conditionalFormatting sqref="N34">
    <cfRule type="cellIs" dxfId="159" priority="1" operator="equal">
      <formula>0</formula>
    </cfRule>
  </conditionalFormatting>
  <pageMargins left="0.7" right="0.7" top="0.75" bottom="0.75" header="0.3" footer="0.3"/>
  <pageSetup scale="65" orientation="landscape" r:id="rId1"/>
  <rowBreaks count="1" manualBreakCount="1">
    <brk id="46" max="16383" man="1"/>
  </rowBreaks>
  <ignoredErrors>
    <ignoredError sqref="M34 K34 N34 L3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20866" r:id="rId4" name="Button 2">
              <controlPr defaultSize="0" print="0" autoFill="0" autoPict="0" macro="[5]!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67" r:id="rId5" name="Button 3">
              <controlPr defaultSize="0" print="0" autoFill="0" autoPict="0" macro="[5]!mcrEnableTwoPercentNonDUI">
                <anchor moveWithCells="1">
                  <from>
                    <xdr:col>1</xdr:col>
                    <xdr:colOff>9525</xdr:colOff>
                    <xdr:row>13</xdr:row>
                    <xdr:rowOff>638175</xdr:rowOff>
                  </from>
                  <to>
                    <xdr:col>2</xdr:col>
                    <xdr:colOff>0</xdr:colOff>
                    <xdr:row>14</xdr:row>
                    <xdr:rowOff>219075</xdr:rowOff>
                  </to>
                </anchor>
              </controlPr>
            </control>
          </mc:Choice>
        </mc:AlternateContent>
        <mc:AlternateContent xmlns:mc="http://schemas.openxmlformats.org/markup-compatibility/2006">
          <mc:Choice Requires="x14">
            <control shapeId="420873" r:id="rId6" name="Button 9">
              <controlPr defaultSize="0" print="0" autoFill="0" autoPict="0" macro="[6]!mcrDisableTwoPercentNonDUI">
                <anchor moveWithCells="1">
                  <from>
                    <xdr:col>1</xdr:col>
                    <xdr:colOff>28575</xdr:colOff>
                    <xdr:row>13</xdr:row>
                    <xdr:rowOff>266700</xdr:rowOff>
                  </from>
                  <to>
                    <xdr:col>2</xdr:col>
                    <xdr:colOff>0</xdr:colOff>
                    <xdr:row>14</xdr:row>
                    <xdr:rowOff>123825</xdr:rowOff>
                  </to>
                </anchor>
              </controlPr>
            </control>
          </mc:Choice>
        </mc:AlternateContent>
        <mc:AlternateContent xmlns:mc="http://schemas.openxmlformats.org/markup-compatibility/2006">
          <mc:Choice Requires="x14">
            <control shapeId="420874" r:id="rId7" name="Button 10">
              <controlPr defaultSize="0" print="0" autoFill="0" autoPict="0" macro="[6]!mcrEnableTwoPercentNonDUI">
                <anchor moveWithCells="1">
                  <from>
                    <xdr:col>1</xdr:col>
                    <xdr:colOff>9525</xdr:colOff>
                    <xdr:row>13</xdr:row>
                    <xdr:rowOff>638175</xdr:rowOff>
                  </from>
                  <to>
                    <xdr:col>1</xdr:col>
                    <xdr:colOff>276225</xdr:colOff>
                    <xdr:row>14</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8"/>
  <sheetViews>
    <sheetView showGridLines="0" zoomScale="90" zoomScaleNormal="90" zoomScaleSheetLayoutView="80" workbookViewId="0">
      <selection activeCell="P5" sqref="P5"/>
    </sheetView>
  </sheetViews>
  <sheetFormatPr defaultRowHeight="15.75" x14ac:dyDescent="0.2"/>
  <cols>
    <col min="1" max="1" width="4.28515625" style="332" customWidth="1"/>
    <col min="2" max="2" width="6.85546875" style="332" customWidth="1"/>
    <col min="3" max="3" width="13.5703125" style="332" customWidth="1"/>
    <col min="4" max="4" width="12" style="332" customWidth="1"/>
    <col min="5" max="5" width="11.28515625" style="1098" customWidth="1"/>
    <col min="6" max="6" width="23.85546875" style="1099" customWidth="1"/>
    <col min="7" max="7" width="11.7109375" style="333" customWidth="1"/>
    <col min="8" max="8" width="29.42578125" style="333" hidden="1" customWidth="1"/>
    <col min="9" max="9" width="11.7109375" style="333" customWidth="1"/>
    <col min="10" max="10" width="12.140625" style="333" customWidth="1"/>
    <col min="11" max="11" width="10.42578125" style="333" customWidth="1"/>
    <col min="12" max="12" width="8.85546875" style="333" customWidth="1"/>
    <col min="13" max="13" width="11.7109375" style="333" customWidth="1"/>
    <col min="14" max="14" width="15.28515625" style="333" customWidth="1"/>
    <col min="15" max="15" width="10.7109375" style="333" customWidth="1"/>
    <col min="16" max="16" width="14.7109375" style="333" customWidth="1"/>
    <col min="17" max="17" width="5.71093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5.85546875" style="101" customWidth="1"/>
    <col min="24" max="24" width="19.140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3.25" customHeight="1" thickBot="1" x14ac:dyDescent="0.25">
      <c r="A1" s="1442" t="s">
        <v>589</v>
      </c>
      <c r="B1" s="1443"/>
      <c r="C1" s="1443"/>
      <c r="D1" s="1443"/>
      <c r="E1" s="1443"/>
      <c r="F1" s="1443"/>
      <c r="G1" s="1443"/>
      <c r="H1" s="1443"/>
      <c r="I1" s="1443"/>
      <c r="J1" s="1443"/>
      <c r="K1" s="1443"/>
      <c r="L1" s="1443"/>
      <c r="M1" s="1443"/>
      <c r="N1" s="1444"/>
      <c r="O1" s="1444"/>
      <c r="P1" s="1445"/>
      <c r="Q1" s="137"/>
      <c r="R1" s="882"/>
      <c r="S1" s="882"/>
      <c r="T1" s="882"/>
      <c r="U1" s="882"/>
      <c r="V1" s="882"/>
      <c r="W1" s="882"/>
      <c r="X1" s="882"/>
      <c r="Y1" s="50"/>
      <c r="Z1" s="50"/>
      <c r="AA1" s="50"/>
      <c r="AB1" s="50"/>
      <c r="AC1" s="50"/>
    </row>
    <row r="2" spans="1:29" s="54" customFormat="1" ht="12" customHeight="1" thickBot="1" x14ac:dyDescent="0.25">
      <c r="A2" s="1058"/>
      <c r="B2" s="1059"/>
      <c r="C2" s="1059"/>
      <c r="D2" s="1059"/>
      <c r="E2" s="1059"/>
      <c r="F2" s="1059"/>
      <c r="G2" s="1059"/>
      <c r="H2" s="1059"/>
      <c r="I2" s="1059"/>
      <c r="J2" s="1059"/>
      <c r="K2" s="1059"/>
      <c r="L2" s="1060"/>
      <c r="M2" s="1060"/>
      <c r="N2" s="1060"/>
      <c r="O2" s="1060"/>
      <c r="P2" s="1061"/>
      <c r="Q2" s="52"/>
      <c r="R2" s="52"/>
      <c r="S2" s="52"/>
      <c r="T2" s="52"/>
      <c r="U2" s="52"/>
      <c r="V2" s="52"/>
      <c r="W2" s="52"/>
      <c r="X2" s="52"/>
    </row>
    <row r="3" spans="1:29" s="54" customFormat="1" ht="19.5" thickBot="1" x14ac:dyDescent="0.25">
      <c r="A3" s="1419" t="s">
        <v>234</v>
      </c>
      <c r="B3" s="1546"/>
      <c r="C3" s="1546"/>
      <c r="D3" s="1546"/>
      <c r="E3" s="1546"/>
      <c r="F3" s="1546"/>
      <c r="G3" s="1546"/>
      <c r="H3" s="1546"/>
      <c r="I3" s="1546"/>
      <c r="J3" s="1546"/>
      <c r="K3" s="1546"/>
      <c r="L3" s="1546"/>
      <c r="M3" s="1546"/>
      <c r="N3" s="1546"/>
      <c r="O3" s="1546"/>
      <c r="P3" s="1547"/>
      <c r="Q3" s="237"/>
      <c r="R3" s="1583"/>
      <c r="S3" s="1583"/>
      <c r="T3" s="1583"/>
      <c r="U3" s="1583"/>
      <c r="V3" s="1583"/>
      <c r="W3" s="1583"/>
      <c r="X3" s="1583"/>
      <c r="Y3" s="910"/>
      <c r="Z3" s="917"/>
      <c r="AA3" s="914"/>
      <c r="AB3" s="910"/>
    </row>
    <row r="4" spans="1:29" s="57" customFormat="1" x14ac:dyDescent="0.2">
      <c r="A4" s="1379" t="s">
        <v>231</v>
      </c>
      <c r="B4" s="1380"/>
      <c r="C4" s="1380"/>
      <c r="D4" s="2146"/>
      <c r="E4" s="2147"/>
      <c r="F4" s="1536" t="s">
        <v>28</v>
      </c>
      <c r="G4" s="1537"/>
      <c r="H4" s="1537"/>
      <c r="I4" s="1538"/>
      <c r="J4" s="1539"/>
      <c r="K4" s="1540"/>
      <c r="L4" s="1540"/>
      <c r="M4" s="1541"/>
      <c r="N4" s="1383" t="s">
        <v>257</v>
      </c>
      <c r="O4" s="1383"/>
      <c r="P4" s="209">
        <v>0</v>
      </c>
      <c r="Q4" s="238"/>
      <c r="R4" s="1551"/>
      <c r="S4" s="1551"/>
      <c r="T4" s="1551"/>
      <c r="U4" s="1551"/>
      <c r="V4" s="1551"/>
      <c r="W4" s="1551"/>
      <c r="X4" s="1551"/>
      <c r="Y4" s="918"/>
      <c r="Z4" s="919"/>
      <c r="AA4" s="920"/>
      <c r="AB4" s="920"/>
    </row>
    <row r="5" spans="1:29" s="57" customFormat="1" x14ac:dyDescent="0.2">
      <c r="A5" s="1384" t="s">
        <v>4</v>
      </c>
      <c r="B5" s="1385"/>
      <c r="C5" s="1385"/>
      <c r="D5" s="1289"/>
      <c r="E5" s="1292"/>
      <c r="F5" s="1277" t="s">
        <v>244</v>
      </c>
      <c r="G5" s="1388"/>
      <c r="H5" s="1388"/>
      <c r="I5" s="1278"/>
      <c r="J5" s="1282"/>
      <c r="K5" s="1292"/>
      <c r="L5" s="1292"/>
      <c r="M5" s="1293"/>
      <c r="N5" s="1388" t="s">
        <v>22</v>
      </c>
      <c r="O5" s="1388"/>
      <c r="P5" s="58">
        <v>0</v>
      </c>
      <c r="Q5" s="238"/>
      <c r="R5" s="1551"/>
      <c r="S5" s="1551"/>
      <c r="T5" s="1551"/>
      <c r="U5" s="1551"/>
      <c r="V5" s="1551"/>
      <c r="W5" s="1551"/>
      <c r="X5" s="1551"/>
      <c r="Y5" s="918"/>
      <c r="Z5" s="918"/>
      <c r="AA5" s="921"/>
      <c r="AB5" s="921"/>
    </row>
    <row r="6" spans="1:29" s="57" customFormat="1" x14ac:dyDescent="0.2">
      <c r="A6" s="1384" t="s">
        <v>12</v>
      </c>
      <c r="B6" s="1385"/>
      <c r="C6" s="1385"/>
      <c r="D6" s="1289"/>
      <c r="E6" s="1545"/>
      <c r="F6" s="1277" t="s">
        <v>20</v>
      </c>
      <c r="G6" s="1388"/>
      <c r="H6" s="1388"/>
      <c r="I6" s="1278"/>
      <c r="J6" s="1282"/>
      <c r="K6" s="1292"/>
      <c r="L6" s="1292"/>
      <c r="M6" s="1293"/>
      <c r="N6" s="1389" t="s">
        <v>233</v>
      </c>
      <c r="O6" s="1389"/>
      <c r="P6" s="212">
        <f>P4+P5*10</f>
        <v>0</v>
      </c>
      <c r="Q6" s="238"/>
      <c r="R6" s="1551"/>
      <c r="S6" s="1551"/>
      <c r="T6" s="1551"/>
      <c r="U6" s="1551"/>
      <c r="V6" s="1551"/>
      <c r="W6" s="1551"/>
      <c r="X6" s="1551"/>
      <c r="Y6" s="918"/>
      <c r="Z6" s="918"/>
      <c r="AA6" s="921"/>
      <c r="AB6" s="921"/>
    </row>
    <row r="7" spans="1:29" s="57" customFormat="1" ht="16.5" thickBot="1" x14ac:dyDescent="0.25">
      <c r="A7" s="1384" t="s">
        <v>5</v>
      </c>
      <c r="B7" s="1385"/>
      <c r="C7" s="1385"/>
      <c r="D7" s="1282"/>
      <c r="E7" s="1292"/>
      <c r="F7" s="1542" t="s">
        <v>21</v>
      </c>
      <c r="G7" s="1543"/>
      <c r="H7" s="1543"/>
      <c r="I7" s="1544"/>
      <c r="J7" s="1286"/>
      <c r="K7" s="1287"/>
      <c r="L7" s="1287"/>
      <c r="M7" s="1317"/>
      <c r="N7" s="186"/>
      <c r="O7" s="1000"/>
      <c r="P7" s="1001"/>
      <c r="Q7" s="238"/>
      <c r="R7" s="1551"/>
      <c r="S7" s="1551"/>
      <c r="T7" s="1551"/>
      <c r="U7" s="1551"/>
      <c r="V7" s="1551"/>
      <c r="W7" s="1551"/>
      <c r="X7" s="1551"/>
      <c r="Y7" s="918"/>
      <c r="Z7" s="918"/>
      <c r="AA7" s="921"/>
      <c r="AB7" s="921"/>
    </row>
    <row r="8" spans="1:29" s="57" customFormat="1" ht="15.75" customHeight="1" x14ac:dyDescent="0.2">
      <c r="A8" s="1394" t="s">
        <v>54</v>
      </c>
      <c r="B8" s="1395"/>
      <c r="C8" s="1395"/>
      <c r="D8" s="1298">
        <v>0</v>
      </c>
      <c r="E8" s="1550"/>
      <c r="F8" s="1337" t="s">
        <v>253</v>
      </c>
      <c r="G8" s="1333"/>
      <c r="H8" s="1333"/>
      <c r="I8" s="1334"/>
      <c r="J8" s="1302"/>
      <c r="K8" s="1303"/>
      <c r="L8" s="1303"/>
      <c r="M8" s="1304"/>
      <c r="N8" s="1333" t="s">
        <v>257</v>
      </c>
      <c r="O8" s="1333"/>
      <c r="P8" s="55">
        <v>0</v>
      </c>
      <c r="Q8" s="239"/>
      <c r="R8" s="1548"/>
      <c r="S8" s="1548"/>
      <c r="T8" s="1548"/>
      <c r="U8" s="1548"/>
      <c r="V8" s="1548"/>
      <c r="W8" s="1548"/>
      <c r="X8" s="1548"/>
      <c r="Y8" s="918"/>
      <c r="Z8" s="918"/>
      <c r="AA8" s="921"/>
      <c r="AB8" s="921"/>
    </row>
    <row r="9" spans="1:29" s="57" customFormat="1" x14ac:dyDescent="0.2">
      <c r="A9" s="1402" t="s">
        <v>53</v>
      </c>
      <c r="B9" s="1403"/>
      <c r="C9" s="1403"/>
      <c r="D9" s="1404">
        <f>100%-D8</f>
        <v>1</v>
      </c>
      <c r="E9" s="1549"/>
      <c r="F9" s="1277" t="s">
        <v>244</v>
      </c>
      <c r="G9" s="1388"/>
      <c r="H9" s="1388"/>
      <c r="I9" s="1278"/>
      <c r="J9" s="1282"/>
      <c r="K9" s="1292"/>
      <c r="L9" s="1292"/>
      <c r="M9" s="1293"/>
      <c r="N9" s="1388" t="s">
        <v>22</v>
      </c>
      <c r="O9" s="1388"/>
      <c r="P9" s="58"/>
      <c r="Q9" s="239"/>
      <c r="R9" s="1548"/>
      <c r="S9" s="1548"/>
      <c r="T9" s="1548"/>
      <c r="U9" s="1548"/>
      <c r="V9" s="1548"/>
      <c r="W9" s="1548"/>
      <c r="X9" s="1548"/>
      <c r="Y9" s="918"/>
      <c r="Z9" s="916"/>
      <c r="AA9" s="921"/>
      <c r="AB9" s="921"/>
    </row>
    <row r="10" spans="1:29" s="57" customFormat="1" ht="35.25" customHeight="1" x14ac:dyDescent="0.2">
      <c r="A10" s="1436" t="s">
        <v>276</v>
      </c>
      <c r="B10" s="1437"/>
      <c r="C10" s="1437"/>
      <c r="D10" s="1438">
        <f>P6+P10</f>
        <v>0</v>
      </c>
      <c r="E10" s="1310"/>
      <c r="F10" s="1277" t="s">
        <v>20</v>
      </c>
      <c r="G10" s="1388"/>
      <c r="H10" s="1388"/>
      <c r="I10" s="1278"/>
      <c r="J10" s="1282"/>
      <c r="K10" s="1292"/>
      <c r="L10" s="1292"/>
      <c r="M10" s="1293"/>
      <c r="N10" s="1389" t="s">
        <v>233</v>
      </c>
      <c r="O10" s="1389"/>
      <c r="P10" s="212">
        <f>P8+P9*10</f>
        <v>0</v>
      </c>
      <c r="Q10" s="240"/>
      <c r="R10" s="1552"/>
      <c r="S10" s="1552"/>
      <c r="T10" s="1552"/>
      <c r="U10" s="1552"/>
      <c r="V10" s="1552"/>
      <c r="W10" s="1552"/>
      <c r="X10" s="1552"/>
      <c r="Y10" s="918"/>
      <c r="Z10" s="922"/>
      <c r="AA10" s="923"/>
      <c r="AB10" s="923"/>
    </row>
    <row r="11" spans="1:29" s="57" customFormat="1" ht="16.5" thickBot="1" x14ac:dyDescent="0.25">
      <c r="A11" s="1439" t="s">
        <v>277</v>
      </c>
      <c r="B11" s="1440"/>
      <c r="C11" s="1440"/>
      <c r="D11" s="1441">
        <f>ROUNDUP(D10/10,0)</f>
        <v>0</v>
      </c>
      <c r="E11" s="1315"/>
      <c r="F11" s="1294" t="s">
        <v>21</v>
      </c>
      <c r="G11" s="1553"/>
      <c r="H11" s="1553"/>
      <c r="I11" s="1285"/>
      <c r="J11" s="1286"/>
      <c r="K11" s="1287"/>
      <c r="L11" s="1287"/>
      <c r="M11" s="1317"/>
      <c r="N11" s="1554" t="s">
        <v>568</v>
      </c>
      <c r="O11" s="1555"/>
      <c r="P11" s="1191">
        <f>'Local Penalties'!B8</f>
        <v>5</v>
      </c>
      <c r="Q11" s="240"/>
      <c r="R11" s="1552"/>
      <c r="S11" s="1552"/>
      <c r="T11" s="1552"/>
      <c r="U11" s="1552"/>
      <c r="V11" s="1552"/>
      <c r="W11" s="1552"/>
      <c r="X11" s="1552"/>
      <c r="Y11" s="918"/>
      <c r="Z11" s="918"/>
      <c r="AA11" s="924"/>
      <c r="AB11" s="924"/>
    </row>
    <row r="12" spans="1:29" s="57" customFormat="1" ht="16.5" thickBot="1" x14ac:dyDescent="0.25">
      <c r="A12" s="1118"/>
      <c r="B12" s="1119"/>
      <c r="C12" s="1062"/>
      <c r="D12" s="1062"/>
      <c r="E12" s="1062"/>
      <c r="F12" s="66"/>
      <c r="G12" s="59"/>
      <c r="H12" s="60"/>
      <c r="I12" s="61"/>
      <c r="J12" s="61"/>
      <c r="K12" s="61"/>
      <c r="L12" s="61"/>
      <c r="M12" s="61"/>
      <c r="N12" s="813"/>
      <c r="O12" s="813"/>
      <c r="P12" s="818"/>
      <c r="Q12" s="56"/>
      <c r="R12" s="56"/>
      <c r="S12" s="56"/>
      <c r="T12" s="56"/>
      <c r="U12" s="56"/>
      <c r="V12" s="63"/>
      <c r="W12" s="63"/>
      <c r="X12" s="64"/>
      <c r="AB12" s="65"/>
    </row>
    <row r="13" spans="1:29" s="109" customFormat="1" ht="16.5" thickBot="1" x14ac:dyDescent="0.25">
      <c r="A13" s="1063"/>
      <c r="B13" s="1064"/>
      <c r="C13" s="1064"/>
      <c r="D13" s="1064"/>
      <c r="E13" s="1064"/>
      <c r="F13" s="107"/>
      <c r="G13" s="814"/>
      <c r="H13" s="820"/>
      <c r="I13" s="199"/>
      <c r="J13" s="276"/>
      <c r="K13" s="1344" t="s">
        <v>297</v>
      </c>
      <c r="L13" s="1345"/>
      <c r="M13" s="1345"/>
      <c r="N13" s="1558" t="s">
        <v>578</v>
      </c>
      <c r="O13" s="1559"/>
      <c r="P13" s="1560"/>
      <c r="Q13" s="226"/>
      <c r="R13" s="158"/>
      <c r="S13" s="158"/>
      <c r="T13" s="159"/>
      <c r="U13" s="108"/>
      <c r="V13" s="108"/>
      <c r="W13" s="108"/>
      <c r="X13" s="108"/>
      <c r="Y13" s="108"/>
    </row>
    <row r="14" spans="1:29" ht="42" customHeight="1" thickBot="1" x14ac:dyDescent="0.25">
      <c r="A14" s="982">
        <v>0.02</v>
      </c>
      <c r="B14" s="1535" t="s">
        <v>58</v>
      </c>
      <c r="C14" s="1561" t="s">
        <v>226</v>
      </c>
      <c r="D14" s="1562"/>
      <c r="E14" s="1562"/>
      <c r="F14" s="1563"/>
      <c r="G14" s="990" t="s">
        <v>249</v>
      </c>
      <c r="H14" s="1192" t="s">
        <v>0</v>
      </c>
      <c r="I14" s="1567" t="s">
        <v>298</v>
      </c>
      <c r="J14" s="1569" t="s">
        <v>275</v>
      </c>
      <c r="K14" s="1567" t="s">
        <v>315</v>
      </c>
      <c r="L14" s="1535" t="s">
        <v>6</v>
      </c>
      <c r="M14" s="1573" t="s">
        <v>591</v>
      </c>
      <c r="N14" s="1123" t="s">
        <v>428</v>
      </c>
      <c r="O14" s="1406" t="s">
        <v>6</v>
      </c>
      <c r="P14" s="1575" t="s">
        <v>591</v>
      </c>
      <c r="Q14" s="228"/>
      <c r="R14" s="54"/>
      <c r="S14" s="54"/>
      <c r="T14" s="54"/>
      <c r="U14" s="54"/>
      <c r="V14" s="54"/>
      <c r="W14" s="50"/>
      <c r="X14" s="50"/>
      <c r="Y14" s="50"/>
      <c r="Z14" s="50"/>
      <c r="AA14" s="50"/>
      <c r="AB14" s="50"/>
      <c r="AC14" s="50"/>
    </row>
    <row r="15" spans="1:29" ht="21.75" customHeight="1" thickBot="1" x14ac:dyDescent="0.25">
      <c r="A15" s="983"/>
      <c r="B15" s="1478"/>
      <c r="C15" s="1564"/>
      <c r="D15" s="1565"/>
      <c r="E15" s="1565"/>
      <c r="F15" s="1566"/>
      <c r="G15" s="959"/>
      <c r="H15" s="959"/>
      <c r="I15" s="1568"/>
      <c r="J15" s="1570"/>
      <c r="K15" s="1568"/>
      <c r="L15" s="1571"/>
      <c r="M15" s="1574"/>
      <c r="N15" s="1158" t="e">
        <f>(N35-N31)/(K35-K31)</f>
        <v>#DIV/0!</v>
      </c>
      <c r="O15" s="1572"/>
      <c r="P15" s="1576"/>
      <c r="Q15" s="228"/>
      <c r="R15" s="54"/>
      <c r="S15" s="54"/>
      <c r="T15" s="54"/>
      <c r="U15" s="54"/>
      <c r="V15" s="54"/>
      <c r="W15" s="50"/>
      <c r="X15" s="50"/>
      <c r="Y15" s="50"/>
      <c r="Z15" s="50"/>
      <c r="AA15" s="50"/>
      <c r="AB15" s="50"/>
      <c r="AC15" s="50"/>
    </row>
    <row r="16" spans="1:29" s="74" customFormat="1" ht="16.5" hidden="1" customHeight="1" thickTop="1" thickBot="1" x14ac:dyDescent="0.25">
      <c r="A16" s="1066" t="s">
        <v>8</v>
      </c>
      <c r="B16" s="1193"/>
      <c r="C16" s="1557"/>
      <c r="D16" s="1557"/>
      <c r="E16" s="1557"/>
      <c r="F16" s="1557"/>
      <c r="G16" s="1194"/>
      <c r="H16" s="1195"/>
      <c r="I16" s="1068"/>
      <c r="J16" s="1161"/>
      <c r="K16" s="1070"/>
      <c r="L16" s="1070"/>
      <c r="M16" s="1209"/>
      <c r="N16" s="1163"/>
      <c r="O16" s="1069"/>
      <c r="P16" s="1214"/>
      <c r="Q16" s="937"/>
      <c r="R16" s="125"/>
      <c r="S16" s="125"/>
      <c r="T16" s="125"/>
      <c r="U16" s="125"/>
      <c r="V16" s="125"/>
    </row>
    <row r="17" spans="1:22" s="74" customFormat="1" ht="15.75" hidden="1" customHeight="1" thickBot="1" x14ac:dyDescent="0.25">
      <c r="A17" s="1066" t="s">
        <v>8</v>
      </c>
      <c r="B17" s="1067"/>
      <c r="C17" s="1326"/>
      <c r="D17" s="1327"/>
      <c r="E17" s="1327"/>
      <c r="F17" s="1328"/>
      <c r="G17" s="1196"/>
      <c r="H17" s="1170"/>
      <c r="I17" s="1197"/>
      <c r="J17" s="1161"/>
      <c r="K17" s="1070"/>
      <c r="L17" s="1070"/>
      <c r="M17" s="1210"/>
      <c r="N17" s="1163"/>
      <c r="O17" s="1069"/>
      <c r="P17" s="1140"/>
      <c r="Q17" s="937"/>
      <c r="R17" s="125"/>
      <c r="S17" s="125"/>
      <c r="T17" s="125"/>
      <c r="U17" s="125"/>
      <c r="V17" s="125"/>
    </row>
    <row r="18" spans="1:22" s="74" customFormat="1" ht="15" customHeight="1" x14ac:dyDescent="0.2">
      <c r="A18" s="1066" t="s">
        <v>8</v>
      </c>
      <c r="B18" s="1067"/>
      <c r="C18" s="1409" t="s">
        <v>274</v>
      </c>
      <c r="D18" s="1409"/>
      <c r="E18" s="1409"/>
      <c r="F18" s="1409"/>
      <c r="G18" s="1198" t="str">
        <f>IF(D9=0,"COUNTY","CITY")</f>
        <v>CITY</v>
      </c>
      <c r="H18" s="1170" t="s">
        <v>51</v>
      </c>
      <c r="I18" s="1197"/>
      <c r="J18" s="1161"/>
      <c r="K18" s="1070">
        <f>J41</f>
        <v>0</v>
      </c>
      <c r="L18" s="1070">
        <f>IF(A18="Y", K18*2%,0)</f>
        <v>0</v>
      </c>
      <c r="M18" s="1211">
        <f>K18-L18</f>
        <v>0</v>
      </c>
      <c r="N18" s="1163">
        <f t="shared" ref="N18:N30" si="0">IF($N$42=0,,K18*$N$15)</f>
        <v>0</v>
      </c>
      <c r="O18" s="1069">
        <f t="shared" ref="O18:O34" si="1">IF(A18="Y", N18*2%,)</f>
        <v>0</v>
      </c>
      <c r="P18" s="1140">
        <f t="shared" ref="P18:P39" si="2">N18-O18</f>
        <v>0</v>
      </c>
      <c r="Q18" s="937"/>
      <c r="R18" s="125"/>
      <c r="S18" s="125"/>
      <c r="T18" s="125"/>
      <c r="U18" s="125"/>
      <c r="V18" s="125"/>
    </row>
    <row r="19" spans="1:22" s="74" customFormat="1" ht="15" customHeight="1" x14ac:dyDescent="0.2">
      <c r="A19" s="1066" t="s">
        <v>8</v>
      </c>
      <c r="B19" s="1580" t="s">
        <v>241</v>
      </c>
      <c r="C19" s="1412" t="s">
        <v>212</v>
      </c>
      <c r="D19" s="1412"/>
      <c r="E19" s="1412"/>
      <c r="F19" s="1412"/>
      <c r="G19" s="1072" t="s">
        <v>32</v>
      </c>
      <c r="H19" s="1170" t="s">
        <v>27</v>
      </c>
      <c r="I19" s="1074">
        <f>(D10-SUM(I16:I18))*D8</f>
        <v>0</v>
      </c>
      <c r="J19" s="1161">
        <f>I19*30%</f>
        <v>0</v>
      </c>
      <c r="K19" s="1070">
        <f t="shared" ref="K19:K34" si="3">I19-J19</f>
        <v>0</v>
      </c>
      <c r="L19" s="1070">
        <f>IF(A19="Y", K19*2%,0)</f>
        <v>0</v>
      </c>
      <c r="M19" s="1211">
        <f t="shared" ref="M19:M33" si="4">K19-L19</f>
        <v>0</v>
      </c>
      <c r="N19" s="1163">
        <f t="shared" si="0"/>
        <v>0</v>
      </c>
      <c r="O19" s="1069">
        <f t="shared" si="1"/>
        <v>0</v>
      </c>
      <c r="P19" s="1140">
        <f t="shared" si="2"/>
        <v>0</v>
      </c>
      <c r="Q19" s="937"/>
      <c r="R19" s="1556"/>
      <c r="S19" s="125"/>
      <c r="T19" s="125"/>
      <c r="U19" s="125"/>
      <c r="V19" s="125"/>
    </row>
    <row r="20" spans="1:22" s="74" customFormat="1" ht="15" customHeight="1" x14ac:dyDescent="0.2">
      <c r="A20" s="1066" t="s">
        <v>8</v>
      </c>
      <c r="B20" s="1322"/>
      <c r="C20" s="1412" t="s">
        <v>213</v>
      </c>
      <c r="D20" s="1412"/>
      <c r="E20" s="1412"/>
      <c r="F20" s="1412"/>
      <c r="G20" s="1072" t="s">
        <v>52</v>
      </c>
      <c r="H20" s="1170" t="s">
        <v>25</v>
      </c>
      <c r="I20" s="1074">
        <f>(D10-SUM(I16:I18))*D9</f>
        <v>0</v>
      </c>
      <c r="J20" s="1161">
        <f>I20*30%</f>
        <v>0</v>
      </c>
      <c r="K20" s="1070">
        <f t="shared" si="3"/>
        <v>0</v>
      </c>
      <c r="L20" s="1070">
        <f t="shared" ref="L20:L34" si="5">IF(A20="Y", K20*2%,0)</f>
        <v>0</v>
      </c>
      <c r="M20" s="1211">
        <f t="shared" si="4"/>
        <v>0</v>
      </c>
      <c r="N20" s="1163">
        <f t="shared" si="0"/>
        <v>0</v>
      </c>
      <c r="O20" s="1069">
        <f t="shared" si="1"/>
        <v>0</v>
      </c>
      <c r="P20" s="1140">
        <f t="shared" si="2"/>
        <v>0</v>
      </c>
      <c r="Q20" s="937"/>
      <c r="R20" s="1556"/>
      <c r="S20" s="125"/>
      <c r="T20" s="125"/>
      <c r="U20" s="125"/>
      <c r="V20" s="125"/>
    </row>
    <row r="21" spans="1:22" s="74" customFormat="1" ht="15" customHeight="1" x14ac:dyDescent="0.2">
      <c r="A21" s="1066" t="s">
        <v>8</v>
      </c>
      <c r="B21" s="1075">
        <v>7</v>
      </c>
      <c r="C21" s="1412" t="s">
        <v>546</v>
      </c>
      <c r="D21" s="1412"/>
      <c r="E21" s="1412"/>
      <c r="F21" s="1412"/>
      <c r="G21" s="1072" t="s">
        <v>31</v>
      </c>
      <c r="H21" s="1170" t="s">
        <v>26</v>
      </c>
      <c r="I21" s="1074">
        <f>$D$11*B21</f>
        <v>0</v>
      </c>
      <c r="J21" s="1161">
        <f>I21*30%</f>
        <v>0</v>
      </c>
      <c r="K21" s="1070">
        <f t="shared" si="3"/>
        <v>0</v>
      </c>
      <c r="L21" s="1070">
        <f t="shared" si="5"/>
        <v>0</v>
      </c>
      <c r="M21" s="1211">
        <f t="shared" si="4"/>
        <v>0</v>
      </c>
      <c r="N21" s="1163">
        <f t="shared" si="0"/>
        <v>0</v>
      </c>
      <c r="O21" s="1069">
        <f t="shared" si="1"/>
        <v>0</v>
      </c>
      <c r="P21" s="1140">
        <f t="shared" si="2"/>
        <v>0</v>
      </c>
      <c r="Q21" s="937"/>
      <c r="R21" s="125"/>
      <c r="S21" s="125"/>
      <c r="T21" s="125"/>
      <c r="U21" s="125"/>
      <c r="V21" s="125"/>
    </row>
    <row r="22" spans="1:22" s="74" customFormat="1" ht="15" customHeight="1" x14ac:dyDescent="0.2">
      <c r="A22" s="1066" t="s">
        <v>8</v>
      </c>
      <c r="B22" s="1075">
        <v>3</v>
      </c>
      <c r="C22" s="1412" t="s">
        <v>547</v>
      </c>
      <c r="D22" s="1412"/>
      <c r="E22" s="1412"/>
      <c r="F22" s="1412"/>
      <c r="G22" s="1072" t="s">
        <v>32</v>
      </c>
      <c r="H22" s="1170" t="s">
        <v>27</v>
      </c>
      <c r="I22" s="1074">
        <f t="shared" ref="I22:I33" si="6">$D$11*B22</f>
        <v>0</v>
      </c>
      <c r="J22" s="1161">
        <f>I22*30%</f>
        <v>0</v>
      </c>
      <c r="K22" s="1070">
        <f t="shared" si="3"/>
        <v>0</v>
      </c>
      <c r="L22" s="1070">
        <f t="shared" si="5"/>
        <v>0</v>
      </c>
      <c r="M22" s="1211">
        <f t="shared" si="4"/>
        <v>0</v>
      </c>
      <c r="N22" s="1163">
        <f t="shared" si="0"/>
        <v>0</v>
      </c>
      <c r="O22" s="1069">
        <f t="shared" si="1"/>
        <v>0</v>
      </c>
      <c r="P22" s="1140">
        <f t="shared" si="2"/>
        <v>0</v>
      </c>
      <c r="Q22" s="937"/>
      <c r="R22" s="125"/>
      <c r="S22" s="125"/>
      <c r="T22" s="125"/>
      <c r="U22" s="125"/>
      <c r="V22" s="125"/>
    </row>
    <row r="23" spans="1:22" s="74" customFormat="1" ht="15" customHeight="1" x14ac:dyDescent="0.2">
      <c r="A23" s="1066" t="s">
        <v>8</v>
      </c>
      <c r="B23" s="1075">
        <v>1</v>
      </c>
      <c r="C23" s="1577" t="s">
        <v>216</v>
      </c>
      <c r="D23" s="1578"/>
      <c r="E23" s="1578"/>
      <c r="F23" s="1579"/>
      <c r="G23" s="1134" t="s">
        <v>32</v>
      </c>
      <c r="H23" s="1166" t="s">
        <v>55</v>
      </c>
      <c r="I23" s="1168">
        <f t="shared" si="6"/>
        <v>0</v>
      </c>
      <c r="J23" s="1161"/>
      <c r="K23" s="1070">
        <f t="shared" si="3"/>
        <v>0</v>
      </c>
      <c r="L23" s="1070">
        <f t="shared" si="5"/>
        <v>0</v>
      </c>
      <c r="M23" s="1211">
        <f t="shared" si="4"/>
        <v>0</v>
      </c>
      <c r="N23" s="1163">
        <f t="shared" si="0"/>
        <v>0</v>
      </c>
      <c r="O23" s="1069">
        <f t="shared" si="1"/>
        <v>0</v>
      </c>
      <c r="P23" s="1140">
        <f t="shared" si="2"/>
        <v>0</v>
      </c>
      <c r="Q23" s="937"/>
      <c r="R23" s="125"/>
      <c r="S23" s="125"/>
      <c r="T23" s="125"/>
      <c r="U23" s="125"/>
      <c r="V23" s="125"/>
    </row>
    <row r="24" spans="1:22" s="74" customFormat="1" ht="15" customHeight="1" x14ac:dyDescent="0.2">
      <c r="A24" s="1066" t="s">
        <v>8</v>
      </c>
      <c r="B24" s="1075">
        <v>4</v>
      </c>
      <c r="C24" s="1577" t="s">
        <v>466</v>
      </c>
      <c r="D24" s="1578"/>
      <c r="E24" s="1578"/>
      <c r="F24" s="1579"/>
      <c r="G24" s="1134" t="s">
        <v>31</v>
      </c>
      <c r="H24" s="1166" t="s">
        <v>72</v>
      </c>
      <c r="I24" s="1168">
        <f t="shared" si="6"/>
        <v>0</v>
      </c>
      <c r="J24" s="1161"/>
      <c r="K24" s="1070">
        <f t="shared" si="3"/>
        <v>0</v>
      </c>
      <c r="L24" s="1070">
        <f t="shared" si="5"/>
        <v>0</v>
      </c>
      <c r="M24" s="1211">
        <f t="shared" si="4"/>
        <v>0</v>
      </c>
      <c r="N24" s="1163">
        <f t="shared" si="0"/>
        <v>0</v>
      </c>
      <c r="O24" s="1069">
        <f t="shared" si="1"/>
        <v>0</v>
      </c>
      <c r="P24" s="1140">
        <f t="shared" si="2"/>
        <v>0</v>
      </c>
      <c r="Q24" s="937"/>
      <c r="R24" s="125"/>
      <c r="S24" s="125"/>
      <c r="T24" s="125"/>
      <c r="U24" s="125"/>
      <c r="V24" s="125"/>
    </row>
    <row r="25" spans="1:22" s="74" customFormat="1" ht="15" customHeight="1" x14ac:dyDescent="0.2">
      <c r="A25" s="1066" t="s">
        <v>8</v>
      </c>
      <c r="B25" s="1076">
        <v>0</v>
      </c>
      <c r="C25" s="1412" t="s">
        <v>217</v>
      </c>
      <c r="D25" s="1412"/>
      <c r="E25" s="1347" t="str">
        <f>IF(SUM(B25:B29)=P11,"GC 76000 PA ($" &amp;P11 &amp; " for every 10) breakdown per local board of supervisor resolution (BOS).","ERROR! GC 76000 PA total is not $" &amp;P11&amp; ". Check Court's board resolution.")</f>
        <v>ERROR! GC 76000 PA total is not $5. Check Court's board resolution.</v>
      </c>
      <c r="F25" s="1348"/>
      <c r="G25" s="1072" t="s">
        <v>32</v>
      </c>
      <c r="H25" s="1170" t="s">
        <v>64</v>
      </c>
      <c r="I25" s="1074">
        <f t="shared" si="6"/>
        <v>0</v>
      </c>
      <c r="J25" s="1161">
        <f>I25*30%</f>
        <v>0</v>
      </c>
      <c r="K25" s="1070">
        <f t="shared" si="3"/>
        <v>0</v>
      </c>
      <c r="L25" s="1070">
        <f t="shared" si="5"/>
        <v>0</v>
      </c>
      <c r="M25" s="1211">
        <f t="shared" si="4"/>
        <v>0</v>
      </c>
      <c r="N25" s="1163">
        <f t="shared" si="0"/>
        <v>0</v>
      </c>
      <c r="O25" s="1069">
        <f t="shared" si="1"/>
        <v>0</v>
      </c>
      <c r="P25" s="1140">
        <f t="shared" si="2"/>
        <v>0</v>
      </c>
      <c r="Q25" s="937"/>
      <c r="R25" s="125"/>
      <c r="S25" s="125"/>
      <c r="T25" s="125"/>
      <c r="U25" s="125"/>
      <c r="V25" s="125"/>
    </row>
    <row r="26" spans="1:22" s="74" customFormat="1" ht="15" customHeight="1" x14ac:dyDescent="0.2">
      <c r="A26" s="1066" t="s">
        <v>8</v>
      </c>
      <c r="B26" s="1076">
        <v>0</v>
      </c>
      <c r="C26" s="1412" t="s">
        <v>218</v>
      </c>
      <c r="D26" s="1412"/>
      <c r="E26" s="1349"/>
      <c r="F26" s="1350"/>
      <c r="G26" s="1072" t="s">
        <v>32</v>
      </c>
      <c r="H26" s="1170" t="s">
        <v>35</v>
      </c>
      <c r="I26" s="1074">
        <f t="shared" si="6"/>
        <v>0</v>
      </c>
      <c r="J26" s="1161">
        <f>I26*30%</f>
        <v>0</v>
      </c>
      <c r="K26" s="1070">
        <f t="shared" si="3"/>
        <v>0</v>
      </c>
      <c r="L26" s="1070">
        <f t="shared" si="5"/>
        <v>0</v>
      </c>
      <c r="M26" s="1211">
        <f t="shared" si="4"/>
        <v>0</v>
      </c>
      <c r="N26" s="1163">
        <f t="shared" si="0"/>
        <v>0</v>
      </c>
      <c r="O26" s="1069">
        <f t="shared" si="1"/>
        <v>0</v>
      </c>
      <c r="P26" s="1140">
        <f t="shared" si="2"/>
        <v>0</v>
      </c>
      <c r="Q26" s="937"/>
      <c r="R26" s="125"/>
      <c r="S26" s="125"/>
      <c r="T26" s="125"/>
      <c r="U26" s="125"/>
      <c r="V26" s="125"/>
    </row>
    <row r="27" spans="1:22" s="74" customFormat="1" ht="15" customHeight="1" x14ac:dyDescent="0.2">
      <c r="A27" s="1066" t="s">
        <v>8</v>
      </c>
      <c r="B27" s="1076">
        <v>0</v>
      </c>
      <c r="C27" s="1412" t="s">
        <v>219</v>
      </c>
      <c r="D27" s="1412"/>
      <c r="E27" s="1349"/>
      <c r="F27" s="1350"/>
      <c r="G27" s="1072" t="s">
        <v>32</v>
      </c>
      <c r="H27" s="1170" t="s">
        <v>65</v>
      </c>
      <c r="I27" s="1074">
        <f t="shared" si="6"/>
        <v>0</v>
      </c>
      <c r="J27" s="1161">
        <f>I27*30%</f>
        <v>0</v>
      </c>
      <c r="K27" s="1070">
        <f t="shared" si="3"/>
        <v>0</v>
      </c>
      <c r="L27" s="1070">
        <f t="shared" si="5"/>
        <v>0</v>
      </c>
      <c r="M27" s="1211">
        <f t="shared" si="4"/>
        <v>0</v>
      </c>
      <c r="N27" s="1163">
        <f t="shared" si="0"/>
        <v>0</v>
      </c>
      <c r="O27" s="1069">
        <f t="shared" si="1"/>
        <v>0</v>
      </c>
      <c r="P27" s="1140">
        <f t="shared" si="2"/>
        <v>0</v>
      </c>
      <c r="Q27" s="937"/>
      <c r="R27" s="125"/>
      <c r="S27" s="125"/>
      <c r="T27" s="125"/>
      <c r="U27" s="125"/>
      <c r="V27" s="125"/>
    </row>
    <row r="28" spans="1:22" s="74" customFormat="1" ht="15" customHeight="1" x14ac:dyDescent="0.2">
      <c r="A28" s="1066" t="s">
        <v>8</v>
      </c>
      <c r="B28" s="1076">
        <v>0</v>
      </c>
      <c r="C28" s="1412" t="s">
        <v>401</v>
      </c>
      <c r="D28" s="1412"/>
      <c r="E28" s="1349"/>
      <c r="F28" s="1350"/>
      <c r="G28" s="1072" t="s">
        <v>32</v>
      </c>
      <c r="H28" s="1170" t="s">
        <v>65</v>
      </c>
      <c r="I28" s="1074">
        <f>$D$11*B28</f>
        <v>0</v>
      </c>
      <c r="J28" s="1161">
        <f>I28*30%</f>
        <v>0</v>
      </c>
      <c r="K28" s="1070">
        <f>I28-J28</f>
        <v>0</v>
      </c>
      <c r="L28" s="1070">
        <f>IF(A28="Y", K28*2%,0)</f>
        <v>0</v>
      </c>
      <c r="M28" s="1211">
        <f>K28-L28</f>
        <v>0</v>
      </c>
      <c r="N28" s="1163">
        <f t="shared" si="0"/>
        <v>0</v>
      </c>
      <c r="O28" s="1069">
        <f t="shared" si="1"/>
        <v>0</v>
      </c>
      <c r="P28" s="1140">
        <f>N28-O28</f>
        <v>0</v>
      </c>
      <c r="Q28" s="937"/>
      <c r="R28" s="125"/>
      <c r="S28" s="125"/>
      <c r="T28" s="125"/>
      <c r="U28" s="125"/>
      <c r="V28" s="125"/>
    </row>
    <row r="29" spans="1:22" s="74" customFormat="1" ht="15" customHeight="1" x14ac:dyDescent="0.2">
      <c r="A29" s="1066" t="s">
        <v>8</v>
      </c>
      <c r="B29" s="1076">
        <v>0</v>
      </c>
      <c r="C29" s="1412" t="s">
        <v>254</v>
      </c>
      <c r="D29" s="1412"/>
      <c r="E29" s="1351"/>
      <c r="F29" s="1352"/>
      <c r="G29" s="1072" t="s">
        <v>32</v>
      </c>
      <c r="H29" s="1170"/>
      <c r="I29" s="1074">
        <f t="shared" si="6"/>
        <v>0</v>
      </c>
      <c r="J29" s="1161">
        <f>I29*30%</f>
        <v>0</v>
      </c>
      <c r="K29" s="1070">
        <f t="shared" si="3"/>
        <v>0</v>
      </c>
      <c r="L29" s="1070">
        <f t="shared" si="5"/>
        <v>0</v>
      </c>
      <c r="M29" s="1211">
        <f t="shared" si="4"/>
        <v>0</v>
      </c>
      <c r="N29" s="1163">
        <f t="shared" si="0"/>
        <v>0</v>
      </c>
      <c r="O29" s="1069">
        <f t="shared" si="1"/>
        <v>0</v>
      </c>
      <c r="P29" s="1140">
        <f t="shared" si="2"/>
        <v>0</v>
      </c>
      <c r="Q29" s="937"/>
      <c r="R29" s="125"/>
      <c r="S29" s="125"/>
      <c r="T29" s="125"/>
      <c r="U29" s="125"/>
      <c r="V29" s="125"/>
    </row>
    <row r="30" spans="1:22" s="85" customFormat="1" ht="15" customHeight="1" x14ac:dyDescent="0.2">
      <c r="A30" s="1066" t="s">
        <v>8</v>
      </c>
      <c r="B30" s="1076">
        <v>0</v>
      </c>
      <c r="C30" s="1353" t="s">
        <v>286</v>
      </c>
      <c r="D30" s="1354"/>
      <c r="E30" s="1354"/>
      <c r="F30" s="1355"/>
      <c r="G30" s="1077" t="s">
        <v>32</v>
      </c>
      <c r="H30" s="1173" t="s">
        <v>36</v>
      </c>
      <c r="I30" s="1074">
        <f t="shared" si="6"/>
        <v>0</v>
      </c>
      <c r="J30" s="1161"/>
      <c r="K30" s="1070">
        <f t="shared" si="3"/>
        <v>0</v>
      </c>
      <c r="L30" s="1070">
        <f t="shared" si="5"/>
        <v>0</v>
      </c>
      <c r="M30" s="1211">
        <f t="shared" si="4"/>
        <v>0</v>
      </c>
      <c r="N30" s="1163">
        <f t="shared" si="0"/>
        <v>0</v>
      </c>
      <c r="O30" s="1069">
        <f t="shared" si="1"/>
        <v>0</v>
      </c>
      <c r="P30" s="1140">
        <f t="shared" si="2"/>
        <v>0</v>
      </c>
      <c r="Q30" s="937"/>
      <c r="R30" s="127"/>
      <c r="S30" s="127"/>
      <c r="T30" s="127"/>
      <c r="U30" s="127"/>
      <c r="V30" s="127"/>
    </row>
    <row r="31" spans="1:22" s="85" customFormat="1" ht="15" customHeight="1" x14ac:dyDescent="0.2">
      <c r="A31" s="1066" t="s">
        <v>8</v>
      </c>
      <c r="B31" s="1075"/>
      <c r="C31" s="1353" t="s">
        <v>385</v>
      </c>
      <c r="D31" s="1354"/>
      <c r="E31" s="1354"/>
      <c r="F31" s="1355"/>
      <c r="G31" s="1077" t="s">
        <v>31</v>
      </c>
      <c r="H31" s="1178" t="s">
        <v>39</v>
      </c>
      <c r="I31" s="2160">
        <v>0</v>
      </c>
      <c r="J31" s="1070">
        <f>I31*30%</f>
        <v>0</v>
      </c>
      <c r="K31" s="1070">
        <f>I31-J31</f>
        <v>0</v>
      </c>
      <c r="L31" s="1070">
        <f>IF(A31="Y", K31*2%,0)</f>
        <v>0</v>
      </c>
      <c r="M31" s="1211">
        <f>K31-L31</f>
        <v>0</v>
      </c>
      <c r="N31" s="1163">
        <f>IF($N$42=0,,I31*70%)</f>
        <v>0</v>
      </c>
      <c r="O31" s="1069">
        <f t="shared" si="1"/>
        <v>0</v>
      </c>
      <c r="P31" s="1140">
        <f>N31-O31</f>
        <v>0</v>
      </c>
      <c r="Q31" s="937"/>
      <c r="R31" s="127"/>
      <c r="S31" s="127"/>
      <c r="T31" s="127"/>
      <c r="U31" s="127"/>
      <c r="V31" s="127"/>
    </row>
    <row r="32" spans="1:22" s="74" customFormat="1" ht="15" customHeight="1" x14ac:dyDescent="0.2">
      <c r="A32" s="1066" t="s">
        <v>8</v>
      </c>
      <c r="B32" s="1076">
        <v>0</v>
      </c>
      <c r="C32" s="1353" t="s">
        <v>555</v>
      </c>
      <c r="D32" s="1354"/>
      <c r="E32" s="1355"/>
      <c r="F32" s="1414" t="s">
        <v>281</v>
      </c>
      <c r="G32" s="1077" t="s">
        <v>31</v>
      </c>
      <c r="H32" s="1173" t="s">
        <v>37</v>
      </c>
      <c r="I32" s="1074">
        <f t="shared" si="6"/>
        <v>0</v>
      </c>
      <c r="J32" s="1161">
        <f>I32*30%</f>
        <v>0</v>
      </c>
      <c r="K32" s="1070">
        <f t="shared" si="3"/>
        <v>0</v>
      </c>
      <c r="L32" s="1070">
        <f t="shared" si="5"/>
        <v>0</v>
      </c>
      <c r="M32" s="1211">
        <f t="shared" si="4"/>
        <v>0</v>
      </c>
      <c r="N32" s="1163">
        <f>IF($N$42=0,,K32*$N$15)</f>
        <v>0</v>
      </c>
      <c r="O32" s="1069">
        <f t="shared" si="1"/>
        <v>0</v>
      </c>
      <c r="P32" s="1140">
        <f t="shared" si="2"/>
        <v>0</v>
      </c>
      <c r="Q32" s="937"/>
      <c r="R32" s="125"/>
      <c r="S32" s="125"/>
      <c r="T32" s="125"/>
      <c r="U32" s="125"/>
      <c r="V32" s="125"/>
    </row>
    <row r="33" spans="1:24" s="74" customFormat="1" ht="15" customHeight="1" x14ac:dyDescent="0.2">
      <c r="A33" s="1066" t="s">
        <v>8</v>
      </c>
      <c r="B33" s="1080">
        <f>5-B32</f>
        <v>5</v>
      </c>
      <c r="C33" s="1353" t="s">
        <v>556</v>
      </c>
      <c r="D33" s="1354"/>
      <c r="E33" s="1355"/>
      <c r="F33" s="1415"/>
      <c r="G33" s="1077" t="s">
        <v>31</v>
      </c>
      <c r="H33" s="1173" t="s">
        <v>197</v>
      </c>
      <c r="I33" s="1074">
        <f t="shared" si="6"/>
        <v>0</v>
      </c>
      <c r="J33" s="1161">
        <f>I33*30%</f>
        <v>0</v>
      </c>
      <c r="K33" s="1070">
        <f t="shared" si="3"/>
        <v>0</v>
      </c>
      <c r="L33" s="1070">
        <f t="shared" si="5"/>
        <v>0</v>
      </c>
      <c r="M33" s="1211">
        <f t="shared" si="4"/>
        <v>0</v>
      </c>
      <c r="N33" s="1163">
        <f>IF($N$42=0,,K33*$N$15)</f>
        <v>0</v>
      </c>
      <c r="O33" s="1069">
        <f t="shared" si="1"/>
        <v>0</v>
      </c>
      <c r="P33" s="1140">
        <f t="shared" si="2"/>
        <v>0</v>
      </c>
      <c r="Q33" s="937"/>
      <c r="R33" s="125"/>
      <c r="S33" s="125"/>
      <c r="T33" s="125"/>
      <c r="U33" s="125"/>
      <c r="V33" s="125"/>
    </row>
    <row r="34" spans="1:24" s="85" customFormat="1" ht="15" customHeight="1" x14ac:dyDescent="0.2">
      <c r="A34" s="1066" t="s">
        <v>7</v>
      </c>
      <c r="B34" s="1075"/>
      <c r="C34" s="1353" t="s">
        <v>220</v>
      </c>
      <c r="D34" s="1354"/>
      <c r="E34" s="1354"/>
      <c r="F34" s="1355"/>
      <c r="G34" s="1077" t="s">
        <v>31</v>
      </c>
      <c r="H34" s="1173" t="s">
        <v>10</v>
      </c>
      <c r="I34" s="1074">
        <f>$D$10*20%</f>
        <v>0</v>
      </c>
      <c r="J34" s="1161"/>
      <c r="K34" s="1070">
        <f t="shared" si="3"/>
        <v>0</v>
      </c>
      <c r="L34" s="1070">
        <f t="shared" si="5"/>
        <v>0</v>
      </c>
      <c r="M34" s="1211">
        <f>I34-L34</f>
        <v>0</v>
      </c>
      <c r="N34" s="1163">
        <f>IF($N$42=0,,K34*$N$15)</f>
        <v>0</v>
      </c>
      <c r="O34" s="1069">
        <f t="shared" si="1"/>
        <v>0</v>
      </c>
      <c r="P34" s="1140">
        <f t="shared" si="2"/>
        <v>0</v>
      </c>
      <c r="Q34" s="937"/>
      <c r="R34" s="127"/>
      <c r="S34" s="127"/>
      <c r="T34" s="127"/>
      <c r="U34" s="127"/>
      <c r="V34" s="127"/>
    </row>
    <row r="35" spans="1:24" s="90" customFormat="1" ht="15" customHeight="1" x14ac:dyDescent="0.2">
      <c r="A35" s="1066"/>
      <c r="B35" s="1081"/>
      <c r="C35" s="1358" t="s">
        <v>221</v>
      </c>
      <c r="D35" s="1410"/>
      <c r="E35" s="1410"/>
      <c r="F35" s="1411"/>
      <c r="G35" s="1082"/>
      <c r="H35" s="1174"/>
      <c r="I35" s="1084">
        <f>SUM(I16:I34)</f>
        <v>0</v>
      </c>
      <c r="J35" s="1199"/>
      <c r="K35" s="1200">
        <f>SUM(K18:K34)</f>
        <v>0</v>
      </c>
      <c r="L35" s="1070"/>
      <c r="M35" s="1212">
        <f>SUM(M16:M34)</f>
        <v>0</v>
      </c>
      <c r="N35" s="1141">
        <f>IF($N$42=0,,N42-SUM(N36:N39))</f>
        <v>0</v>
      </c>
      <c r="O35" s="1069"/>
      <c r="P35" s="1142">
        <f>SUM(P16:P34)</f>
        <v>0</v>
      </c>
      <c r="Q35" s="938"/>
      <c r="R35" s="143"/>
      <c r="S35" s="143"/>
      <c r="T35" s="143"/>
      <c r="U35" s="143"/>
      <c r="V35" s="143"/>
    </row>
    <row r="36" spans="1:24" s="85" customFormat="1" ht="15" customHeight="1" x14ac:dyDescent="0.2">
      <c r="A36" s="1066" t="s">
        <v>7</v>
      </c>
      <c r="B36" s="1075"/>
      <c r="C36" s="1353" t="s">
        <v>419</v>
      </c>
      <c r="D36" s="1354"/>
      <c r="E36" s="1354"/>
      <c r="F36" s="1355"/>
      <c r="G36" s="1077" t="s">
        <v>31</v>
      </c>
      <c r="H36" s="1178"/>
      <c r="I36" s="2160">
        <v>0</v>
      </c>
      <c r="J36" s="1161"/>
      <c r="K36" s="1070">
        <f>I36</f>
        <v>0</v>
      </c>
      <c r="L36" s="1070">
        <f>IF(A36="Y", I36*2%,0)</f>
        <v>0</v>
      </c>
      <c r="M36" s="1211">
        <f>I36-L36</f>
        <v>0</v>
      </c>
      <c r="N36" s="1139">
        <f>IF($N$42=0,,I36)</f>
        <v>0</v>
      </c>
      <c r="O36" s="1069">
        <f>IF(A36="Y", N36*2%,)</f>
        <v>0</v>
      </c>
      <c r="P36" s="1140">
        <f t="shared" ref="P36" si="7">N36-O36</f>
        <v>0</v>
      </c>
      <c r="Q36" s="937"/>
      <c r="R36" s="127"/>
      <c r="S36" s="127"/>
      <c r="T36" s="127"/>
      <c r="U36" s="127"/>
      <c r="V36" s="127"/>
    </row>
    <row r="37" spans="1:24" s="85" customFormat="1" ht="15" customHeight="1" x14ac:dyDescent="0.2">
      <c r="A37" s="1066" t="s">
        <v>7</v>
      </c>
      <c r="B37" s="1075"/>
      <c r="C37" s="1341" t="s">
        <v>259</v>
      </c>
      <c r="D37" s="1342"/>
      <c r="E37" s="1342"/>
      <c r="F37" s="1343"/>
      <c r="G37" s="1086" t="s">
        <v>31</v>
      </c>
      <c r="H37" s="1179" t="s">
        <v>197</v>
      </c>
      <c r="I37" s="2160">
        <v>0</v>
      </c>
      <c r="J37" s="1161"/>
      <c r="K37" s="1070">
        <f t="shared" ref="K37:K39" si="8">I37</f>
        <v>0</v>
      </c>
      <c r="L37" s="1070">
        <f t="shared" ref="L37:L39" si="9">IF(A37="Y", I37*2%,0)</f>
        <v>0</v>
      </c>
      <c r="M37" s="1211">
        <f t="shared" ref="M37:M39" si="10">I37-L37</f>
        <v>0</v>
      </c>
      <c r="N37" s="1139">
        <f>IF($N$42=0,,I37)</f>
        <v>0</v>
      </c>
      <c r="O37" s="1069">
        <f>IF(A37="Y", N37*2%,)</f>
        <v>0</v>
      </c>
      <c r="P37" s="1140">
        <f t="shared" si="2"/>
        <v>0</v>
      </c>
      <c r="Q37" s="937"/>
      <c r="R37" s="127"/>
      <c r="S37" s="127"/>
      <c r="T37" s="127"/>
      <c r="U37" s="127"/>
      <c r="V37" s="127"/>
    </row>
    <row r="38" spans="1:24" s="74" customFormat="1" ht="15" customHeight="1" x14ac:dyDescent="0.2">
      <c r="A38" s="1066" t="s">
        <v>7</v>
      </c>
      <c r="B38" s="1088"/>
      <c r="C38" s="1341" t="s">
        <v>421</v>
      </c>
      <c r="D38" s="1342"/>
      <c r="E38" s="1342"/>
      <c r="F38" s="1343"/>
      <c r="G38" s="1086" t="s">
        <v>230</v>
      </c>
      <c r="H38" s="1179" t="s">
        <v>24</v>
      </c>
      <c r="I38" s="1175">
        <v>0</v>
      </c>
      <c r="J38" s="1161"/>
      <c r="K38" s="1070">
        <f t="shared" si="8"/>
        <v>0</v>
      </c>
      <c r="L38" s="1070">
        <f t="shared" si="9"/>
        <v>0</v>
      </c>
      <c r="M38" s="1211">
        <f t="shared" si="10"/>
        <v>0</v>
      </c>
      <c r="N38" s="1139">
        <f>IF($N$42=0,,I38)</f>
        <v>0</v>
      </c>
      <c r="O38" s="1069">
        <f>IF(A38="Y", N38*2%,)</f>
        <v>0</v>
      </c>
      <c r="P38" s="1140">
        <f t="shared" si="2"/>
        <v>0</v>
      </c>
      <c r="Q38" s="937"/>
      <c r="R38" s="125"/>
      <c r="S38" s="125"/>
      <c r="T38" s="125"/>
      <c r="U38" s="125"/>
      <c r="V38" s="125"/>
    </row>
    <row r="39" spans="1:24" s="74" customFormat="1" ht="15" customHeight="1" x14ac:dyDescent="0.2">
      <c r="A39" s="1066" t="s">
        <v>7</v>
      </c>
      <c r="B39" s="1088"/>
      <c r="C39" s="1341" t="s">
        <v>225</v>
      </c>
      <c r="D39" s="1342"/>
      <c r="E39" s="1342"/>
      <c r="F39" s="1343"/>
      <c r="G39" s="1086" t="s">
        <v>31</v>
      </c>
      <c r="H39" s="1179" t="s">
        <v>80</v>
      </c>
      <c r="I39" s="1175">
        <v>0</v>
      </c>
      <c r="J39" s="1161"/>
      <c r="K39" s="1070">
        <f t="shared" si="8"/>
        <v>0</v>
      </c>
      <c r="L39" s="1070">
        <f t="shared" si="9"/>
        <v>0</v>
      </c>
      <c r="M39" s="1211">
        <f t="shared" si="10"/>
        <v>0</v>
      </c>
      <c r="N39" s="1139">
        <f>IF($N$42=0,,I39)</f>
        <v>0</v>
      </c>
      <c r="O39" s="1069">
        <f>IF(A39="Y", N39*2%,)</f>
        <v>0</v>
      </c>
      <c r="P39" s="1140">
        <f t="shared" si="2"/>
        <v>0</v>
      </c>
      <c r="Q39" s="937"/>
      <c r="R39" s="125"/>
      <c r="S39" s="125"/>
      <c r="T39" s="125"/>
      <c r="U39" s="125"/>
      <c r="V39" s="125"/>
    </row>
    <row r="40" spans="1:24" s="74" customFormat="1" ht="15" customHeight="1" x14ac:dyDescent="0.2">
      <c r="A40" s="1144" t="s">
        <v>7</v>
      </c>
      <c r="B40" s="1088"/>
      <c r="C40" s="1326" t="s">
        <v>492</v>
      </c>
      <c r="D40" s="1327"/>
      <c r="E40" s="1327"/>
      <c r="F40" s="1328"/>
      <c r="G40" s="1089" t="s">
        <v>31</v>
      </c>
      <c r="H40" s="1183" t="s">
        <v>41</v>
      </c>
      <c r="I40" s="1091"/>
      <c r="J40" s="1201"/>
      <c r="K40" s="1092"/>
      <c r="L40" s="1092"/>
      <c r="M40" s="1092">
        <f>L41</f>
        <v>0</v>
      </c>
      <c r="N40" s="1148"/>
      <c r="O40" s="1146"/>
      <c r="P40" s="1147">
        <f>O41</f>
        <v>0</v>
      </c>
      <c r="Q40" s="939"/>
      <c r="R40" s="125"/>
      <c r="S40" s="125"/>
      <c r="T40" s="125"/>
      <c r="U40" s="125"/>
      <c r="V40" s="125"/>
    </row>
    <row r="41" spans="1:24" s="125" customFormat="1" x14ac:dyDescent="0.2">
      <c r="A41" s="1149"/>
      <c r="B41" s="56"/>
      <c r="C41" s="56"/>
      <c r="D41" s="56"/>
      <c r="E41" s="1094"/>
      <c r="F41" s="1094"/>
      <c r="G41" s="813"/>
      <c r="H41" s="813"/>
      <c r="I41" s="813"/>
      <c r="J41" s="1202">
        <f>SUM(J18:J40)</f>
        <v>0</v>
      </c>
      <c r="K41" s="918"/>
      <c r="L41" s="921">
        <f>SUM(L16:L40)</f>
        <v>0</v>
      </c>
      <c r="M41" s="1213"/>
      <c r="N41" s="1215"/>
      <c r="O41" s="1151">
        <f>SUM(O16:O40)</f>
        <v>0</v>
      </c>
      <c r="P41" s="1152"/>
      <c r="Q41" s="127"/>
    </row>
    <row r="42" spans="1:24" s="106" customFormat="1" ht="16.5" thickBot="1" x14ac:dyDescent="0.25">
      <c r="A42" s="871"/>
      <c r="B42" s="832"/>
      <c r="C42" s="832"/>
      <c r="D42" s="832"/>
      <c r="E42" s="833"/>
      <c r="F42" s="985" t="s">
        <v>81</v>
      </c>
      <c r="G42" s="834"/>
      <c r="H42" s="835" t="s">
        <v>1</v>
      </c>
      <c r="I42" s="836">
        <f>SUM(I35:I41)</f>
        <v>0</v>
      </c>
      <c r="J42" s="881"/>
      <c r="K42" s="881">
        <f>SUM(K35:K41)</f>
        <v>0</v>
      </c>
      <c r="L42" s="956"/>
      <c r="M42" s="885">
        <f>SUM(M35:M41)</f>
        <v>0</v>
      </c>
      <c r="N42" s="1216">
        <v>0</v>
      </c>
      <c r="O42" s="971"/>
      <c r="P42" s="972">
        <f>SUM(P35:P41)</f>
        <v>0</v>
      </c>
      <c r="Q42" s="149"/>
    </row>
    <row r="43" spans="1:24" s="54" customFormat="1" x14ac:dyDescent="0.2">
      <c r="A43" s="1582" t="s">
        <v>61</v>
      </c>
      <c r="B43" s="1582"/>
      <c r="C43" s="1582"/>
      <c r="D43" s="989"/>
      <c r="E43" s="1099"/>
      <c r="F43" s="1099"/>
      <c r="G43" s="57"/>
      <c r="H43" s="57"/>
      <c r="I43" s="57"/>
      <c r="J43" s="1203"/>
      <c r="K43" s="1203"/>
      <c r="L43" s="57"/>
      <c r="M43" s="1203"/>
      <c r="N43" s="57"/>
      <c r="O43" s="57"/>
      <c r="P43" s="57"/>
      <c r="Q43" s="137"/>
      <c r="R43" s="137"/>
      <c r="S43" s="137"/>
      <c r="T43" s="137"/>
      <c r="U43" s="137"/>
      <c r="V43" s="138"/>
      <c r="W43" s="138"/>
      <c r="X43" s="139"/>
    </row>
    <row r="44" spans="1:24" s="141" customFormat="1" x14ac:dyDescent="0.2">
      <c r="A44" s="1204"/>
      <c r="B44" s="1581"/>
      <c r="C44" s="1581"/>
      <c r="D44" s="1581"/>
      <c r="E44" s="1581"/>
      <c r="F44" s="1581"/>
      <c r="G44" s="1581"/>
      <c r="H44" s="1581"/>
      <c r="I44" s="1581"/>
      <c r="J44" s="1581"/>
      <c r="K44" s="1581"/>
      <c r="L44" s="1581"/>
      <c r="M44" s="1581"/>
      <c r="N44" s="1581"/>
      <c r="O44" s="1581"/>
      <c r="P44" s="1581"/>
      <c r="Q44" s="1581"/>
      <c r="R44" s="1581"/>
      <c r="S44" s="1581"/>
      <c r="T44" s="1581"/>
      <c r="U44" s="1581"/>
      <c r="V44" s="1581"/>
      <c r="W44" s="1581"/>
      <c r="X44" s="1581"/>
    </row>
    <row r="45" spans="1:24" s="141" customFormat="1" x14ac:dyDescent="0.2">
      <c r="A45" s="1204"/>
      <c r="B45" s="1581"/>
      <c r="C45" s="1581"/>
      <c r="D45" s="1581"/>
      <c r="E45" s="1581"/>
      <c r="F45" s="1581"/>
      <c r="G45" s="1581"/>
      <c r="H45" s="1581"/>
      <c r="I45" s="1581"/>
      <c r="J45" s="1581"/>
      <c r="K45" s="1581"/>
      <c r="L45" s="1581"/>
      <c r="M45" s="1581"/>
      <c r="N45" s="1581"/>
      <c r="O45" s="1581"/>
      <c r="P45" s="1581"/>
      <c r="Q45" s="1581"/>
      <c r="R45" s="1581"/>
      <c r="S45" s="1581"/>
      <c r="T45" s="1581"/>
      <c r="U45" s="1581"/>
      <c r="V45" s="1581"/>
      <c r="W45" s="1581"/>
      <c r="X45" s="1581"/>
    </row>
    <row r="46" spans="1:24" s="141" customFormat="1" x14ac:dyDescent="0.2">
      <c r="A46" s="1204"/>
      <c r="B46" s="1581"/>
      <c r="C46" s="1581"/>
      <c r="D46" s="1581"/>
      <c r="E46" s="1581"/>
      <c r="F46" s="1581"/>
      <c r="G46" s="1581"/>
      <c r="H46" s="1581"/>
      <c r="I46" s="1581"/>
      <c r="J46" s="1581"/>
      <c r="K46" s="1581"/>
      <c r="L46" s="1581"/>
      <c r="M46" s="1581"/>
      <c r="N46" s="1581"/>
      <c r="O46" s="1581"/>
      <c r="P46" s="1581"/>
      <c r="Q46" s="1581"/>
      <c r="R46" s="1581"/>
      <c r="S46" s="1581"/>
      <c r="T46" s="1581"/>
      <c r="U46" s="1581"/>
      <c r="V46" s="1581"/>
      <c r="W46" s="1581"/>
      <c r="X46" s="1581"/>
    </row>
    <row r="47" spans="1:24" s="54" customFormat="1" x14ac:dyDescent="0.2">
      <c r="A47" s="1204"/>
      <c r="B47" s="1581"/>
      <c r="C47" s="1581"/>
      <c r="D47" s="1581"/>
      <c r="E47" s="1581"/>
      <c r="F47" s="1581"/>
      <c r="G47" s="1581"/>
      <c r="H47" s="1581"/>
      <c r="I47" s="1581"/>
      <c r="J47" s="1581"/>
      <c r="K47" s="1581"/>
      <c r="L47" s="1581"/>
      <c r="M47" s="1581"/>
      <c r="N47" s="1581"/>
      <c r="O47" s="1581"/>
      <c r="P47" s="1581"/>
      <c r="Q47" s="1581"/>
      <c r="R47" s="1581"/>
      <c r="S47" s="1581"/>
      <c r="T47" s="1581"/>
      <c r="U47" s="1581"/>
      <c r="V47" s="1581"/>
      <c r="W47" s="1581"/>
      <c r="X47" s="1581"/>
    </row>
    <row r="48" spans="1:24" x14ac:dyDescent="0.2">
      <c r="A48" s="1205"/>
    </row>
  </sheetData>
  <mergeCells count="94">
    <mergeCell ref="R5:X5"/>
    <mergeCell ref="R4:X4"/>
    <mergeCell ref="R3:X3"/>
    <mergeCell ref="B45:X45"/>
    <mergeCell ref="B46:X46"/>
    <mergeCell ref="C38:F38"/>
    <mergeCell ref="C35:F35"/>
    <mergeCell ref="C36:F36"/>
    <mergeCell ref="C37:F37"/>
    <mergeCell ref="C32:E32"/>
    <mergeCell ref="F32:F33"/>
    <mergeCell ref="C33:E33"/>
    <mergeCell ref="C34:F34"/>
    <mergeCell ref="C29:D29"/>
    <mergeCell ref="C30:F30"/>
    <mergeCell ref="C31:F31"/>
    <mergeCell ref="B47:X47"/>
    <mergeCell ref="C39:F39"/>
    <mergeCell ref="C40:F40"/>
    <mergeCell ref="A43:C43"/>
    <mergeCell ref="B44:X44"/>
    <mergeCell ref="C24:F24"/>
    <mergeCell ref="C25:D25"/>
    <mergeCell ref="E25:F29"/>
    <mergeCell ref="C26:D26"/>
    <mergeCell ref="C27:D27"/>
    <mergeCell ref="C28:D28"/>
    <mergeCell ref="C21:F21"/>
    <mergeCell ref="C22:F22"/>
    <mergeCell ref="C23:F23"/>
    <mergeCell ref="C18:F18"/>
    <mergeCell ref="B19:B20"/>
    <mergeCell ref="C19:F19"/>
    <mergeCell ref="R19:R20"/>
    <mergeCell ref="C20:F20"/>
    <mergeCell ref="C16:F16"/>
    <mergeCell ref="C17:F17"/>
    <mergeCell ref="K13:M13"/>
    <mergeCell ref="N13:P13"/>
    <mergeCell ref="C14:F15"/>
    <mergeCell ref="I14:I15"/>
    <mergeCell ref="J14:J15"/>
    <mergeCell ref="K14:K15"/>
    <mergeCell ref="L14:L15"/>
    <mergeCell ref="O14:O15"/>
    <mergeCell ref="M14:M15"/>
    <mergeCell ref="P14:P15"/>
    <mergeCell ref="R11:X11"/>
    <mergeCell ref="A10:C10"/>
    <mergeCell ref="D10:E10"/>
    <mergeCell ref="F10:I10"/>
    <mergeCell ref="J10:M10"/>
    <mergeCell ref="N10:O10"/>
    <mergeCell ref="R10:X10"/>
    <mergeCell ref="A11:C11"/>
    <mergeCell ref="D11:E11"/>
    <mergeCell ref="F11:I11"/>
    <mergeCell ref="J11:M11"/>
    <mergeCell ref="N11:O11"/>
    <mergeCell ref="N6:O6"/>
    <mergeCell ref="R8:X9"/>
    <mergeCell ref="A9:C9"/>
    <mergeCell ref="D9:E9"/>
    <mergeCell ref="F9:I9"/>
    <mergeCell ref="J9:M9"/>
    <mergeCell ref="N9:O9"/>
    <mergeCell ref="A8:C8"/>
    <mergeCell ref="D8:E8"/>
    <mergeCell ref="F8:I8"/>
    <mergeCell ref="J8:M8"/>
    <mergeCell ref="N8:O8"/>
    <mergeCell ref="R7:X7"/>
    <mergeCell ref="R6:X6"/>
    <mergeCell ref="A1:P1"/>
    <mergeCell ref="A5:C5"/>
    <mergeCell ref="D5:E5"/>
    <mergeCell ref="F5:I5"/>
    <mergeCell ref="J5:M5"/>
    <mergeCell ref="N5:O5"/>
    <mergeCell ref="A3:P3"/>
    <mergeCell ref="N4:O4"/>
    <mergeCell ref="B14:B15"/>
    <mergeCell ref="A4:C4"/>
    <mergeCell ref="D4:E4"/>
    <mergeCell ref="F4:I4"/>
    <mergeCell ref="J4:M4"/>
    <mergeCell ref="A7:C7"/>
    <mergeCell ref="D7:E7"/>
    <mergeCell ref="F7:I7"/>
    <mergeCell ref="J7:M7"/>
    <mergeCell ref="A6:C6"/>
    <mergeCell ref="D6:E6"/>
    <mergeCell ref="F6:I6"/>
    <mergeCell ref="J6:M6"/>
  </mergeCells>
  <conditionalFormatting sqref="E25">
    <cfRule type="cellIs" dxfId="158" priority="1" operator="notEqual">
      <formula>"GC 76000 PA ($" &amp;P11 &amp;" for every 10) breakdown per local board of supervisor resolution (BOS)."</formula>
    </cfRule>
  </conditionalFormatting>
  <conditionalFormatting sqref="N16:P40">
    <cfRule type="cellIs" dxfId="157" priority="7" stopIfTrue="1" operator="equal">
      <formula>0</formula>
    </cfRule>
  </conditionalFormatting>
  <conditionalFormatting sqref="V43:W43 V48:W65531 V12:W12 R13:S13">
    <cfRule type="cellIs" dxfId="156" priority="6" stopIfTrue="1" operator="notEqual">
      <formula>0</formula>
    </cfRule>
  </conditionalFormatting>
  <conditionalFormatting sqref="I16:I18">
    <cfRule type="cellIs" dxfId="155" priority="5" stopIfTrue="1" operator="equal">
      <formula>0</formula>
    </cfRule>
  </conditionalFormatting>
  <conditionalFormatting sqref="J31:M31 I18:M30 I32:M35 J36:M40">
    <cfRule type="cellIs" dxfId="154" priority="3" operator="equal">
      <formula>0</formula>
    </cfRule>
  </conditionalFormatting>
  <pageMargins left="0.7" right="0.7" top="0.75" bottom="0.75" header="0.3" footer="0.3"/>
  <pageSetup scale="69" orientation="landscape" r:id="rId1"/>
  <ignoredErrors>
    <ignoredError sqref="M35 N31 L19:L33 P35" formula="1"/>
    <ignoredError sqref="N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69003" r:id="rId4" name="Button 11">
              <controlPr defaultSize="0" print="0" autoFill="0" autoPict="0" macro="[3]!mcrDisableTwoPercentUnprotect">
                <anchor moveWithCells="1">
                  <from>
                    <xdr:col>0</xdr:col>
                    <xdr:colOff>9525</xdr:colOff>
                    <xdr:row>13</xdr:row>
                    <xdr:rowOff>523875</xdr:rowOff>
                  </from>
                  <to>
                    <xdr:col>0</xdr:col>
                    <xdr:colOff>276225</xdr:colOff>
                    <xdr:row>17</xdr:row>
                    <xdr:rowOff>9525</xdr:rowOff>
                  </to>
                </anchor>
              </controlPr>
            </control>
          </mc:Choice>
        </mc:AlternateContent>
        <mc:AlternateContent xmlns:mc="http://schemas.openxmlformats.org/markup-compatibility/2006">
          <mc:Choice Requires="x14">
            <control shapeId="469004" r:id="rId5" name="Button 12">
              <controlPr defaultSize="0" print="0" autoFill="0" autoPict="0" macro="[3]!mcrEnableTwoPercentUnprotect">
                <anchor moveWithCells="1">
                  <from>
                    <xdr:col>0</xdr:col>
                    <xdr:colOff>0</xdr:colOff>
                    <xdr:row>13</xdr:row>
                    <xdr:rowOff>219075</xdr:rowOff>
                  </from>
                  <to>
                    <xdr:col>0</xdr:col>
                    <xdr:colOff>266700</xdr:colOff>
                    <xdr:row>18</xdr:row>
                    <xdr:rowOff>123825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601" t="s">
        <v>561</v>
      </c>
      <c r="C1" s="1602"/>
      <c r="D1" s="1602"/>
      <c r="E1" s="1602"/>
      <c r="F1" s="1602"/>
      <c r="G1" s="1602"/>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c r="AI1" s="1602"/>
      <c r="AJ1" s="1602"/>
      <c r="AK1" s="1602"/>
      <c r="AL1" s="1602"/>
      <c r="AM1" s="1603"/>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618" t="s">
        <v>86</v>
      </c>
      <c r="C3" s="1618"/>
      <c r="D3" s="1618"/>
      <c r="E3" s="1618"/>
      <c r="F3" s="1618"/>
      <c r="G3" s="1618"/>
      <c r="H3" s="1618"/>
      <c r="I3" s="1618"/>
      <c r="J3" s="1618"/>
      <c r="K3" s="1618"/>
      <c r="L3" s="1618"/>
      <c r="M3" s="1618"/>
      <c r="N3" s="1618"/>
      <c r="O3" s="1618"/>
      <c r="P3" s="1618"/>
      <c r="Q3" s="1618"/>
      <c r="R3" s="1618"/>
      <c r="S3" s="1618"/>
      <c r="T3" s="1618"/>
      <c r="U3" s="1618"/>
      <c r="V3" s="1618"/>
      <c r="W3" s="1618"/>
      <c r="X3" s="1618"/>
      <c r="Y3" s="1618"/>
      <c r="Z3" s="1618"/>
      <c r="AA3" s="1618"/>
      <c r="AB3" s="1618"/>
      <c r="AC3" s="1618"/>
      <c r="AD3" s="1618"/>
      <c r="AE3" s="1618"/>
      <c r="AF3" s="1618"/>
      <c r="AG3" s="1618"/>
      <c r="AH3" s="1618"/>
      <c r="AI3" s="1618"/>
      <c r="AJ3" s="1618"/>
      <c r="AK3" s="1618"/>
      <c r="AL3" s="1618"/>
      <c r="AM3" s="1618"/>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628" t="s">
        <v>398</v>
      </c>
      <c r="B5" s="1631" t="s">
        <v>16</v>
      </c>
      <c r="C5" s="1632"/>
      <c r="D5" s="1604" t="s">
        <v>2</v>
      </c>
      <c r="E5" s="1604" t="s">
        <v>392</v>
      </c>
      <c r="F5" s="1607" t="s">
        <v>87</v>
      </c>
      <c r="G5" s="1607" t="s">
        <v>372</v>
      </c>
      <c r="H5" s="1607" t="s">
        <v>85</v>
      </c>
      <c r="I5" s="1607" t="s">
        <v>17</v>
      </c>
      <c r="J5" s="1607" t="s">
        <v>88</v>
      </c>
      <c r="K5" s="1607" t="s">
        <v>110</v>
      </c>
      <c r="L5" s="1604" t="s">
        <v>81</v>
      </c>
      <c r="M5" s="1638" t="s">
        <v>393</v>
      </c>
      <c r="N5" s="1615" t="s">
        <v>18</v>
      </c>
      <c r="O5" s="1616"/>
      <c r="P5" s="1616"/>
      <c r="Q5" s="1616"/>
      <c r="R5" s="1616"/>
      <c r="S5" s="1616"/>
      <c r="T5" s="1616"/>
      <c r="U5" s="1616"/>
      <c r="V5" s="1616"/>
      <c r="W5" s="1616"/>
      <c r="X5" s="1616"/>
      <c r="Y5" s="1616"/>
      <c r="Z5" s="1616"/>
      <c r="AA5" s="1616"/>
      <c r="AB5" s="1616"/>
      <c r="AC5" s="1616"/>
      <c r="AD5" s="1616"/>
      <c r="AE5" s="1617"/>
      <c r="AF5" s="579"/>
      <c r="AG5" s="574"/>
      <c r="AH5" s="1619" t="s">
        <v>74</v>
      </c>
      <c r="AI5" s="1619" t="s">
        <v>18</v>
      </c>
      <c r="AJ5" s="1605" t="s">
        <v>84</v>
      </c>
      <c r="AK5" s="1605" t="s">
        <v>339</v>
      </c>
      <c r="AL5" s="1608" t="s">
        <v>340</v>
      </c>
      <c r="AM5" s="1608" t="s">
        <v>83</v>
      </c>
    </row>
    <row r="6" spans="1:41" ht="19.5" customHeight="1" thickBot="1" x14ac:dyDescent="0.25">
      <c r="A6" s="1629"/>
      <c r="B6" s="1633"/>
      <c r="C6" s="1634"/>
      <c r="D6" s="1605"/>
      <c r="E6" s="1605"/>
      <c r="F6" s="1608"/>
      <c r="G6" s="1608"/>
      <c r="H6" s="1608"/>
      <c r="I6" s="1608"/>
      <c r="J6" s="1608"/>
      <c r="K6" s="1608"/>
      <c r="L6" s="1605"/>
      <c r="M6" s="1639"/>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620"/>
      <c r="AI6" s="1620"/>
      <c r="AJ6" s="1613"/>
      <c r="AK6" s="1613"/>
      <c r="AL6" s="1611"/>
      <c r="AM6" s="1611"/>
    </row>
    <row r="7" spans="1:41" s="308" customFormat="1" ht="47.25" customHeight="1" thickBot="1" x14ac:dyDescent="0.25">
      <c r="A7" s="1630"/>
      <c r="B7" s="1635"/>
      <c r="C7" s="1636"/>
      <c r="D7" s="1606"/>
      <c r="E7" s="1606"/>
      <c r="F7" s="1610"/>
      <c r="G7" s="1610"/>
      <c r="H7" s="1610"/>
      <c r="I7" s="1609"/>
      <c r="J7" s="1610"/>
      <c r="K7" s="1610"/>
      <c r="L7" s="1606"/>
      <c r="M7" s="1640"/>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621"/>
      <c r="AI7" s="1621"/>
      <c r="AJ7" s="1614"/>
      <c r="AK7" s="1614"/>
      <c r="AL7" s="1612"/>
      <c r="AM7" s="1612"/>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585">
        <v>1</v>
      </c>
      <c r="AI8" s="1596"/>
      <c r="AJ8" s="1598"/>
      <c r="AK8" s="1597"/>
      <c r="AL8" s="1637">
        <f>N31</f>
        <v>0</v>
      </c>
      <c r="AM8" s="1597"/>
      <c r="AN8" s="1584"/>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586"/>
      <c r="AI9" s="1592"/>
      <c r="AJ9" s="1594"/>
      <c r="AK9" s="1592"/>
      <c r="AL9" s="1625"/>
      <c r="AM9" s="1592"/>
      <c r="AN9" s="1584"/>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595">
        <v>2</v>
      </c>
      <c r="AI10" s="1599"/>
      <c r="AJ10" s="1593"/>
      <c r="AK10" s="1591"/>
      <c r="AL10" s="1624">
        <f>O31</f>
        <v>0</v>
      </c>
      <c r="AM10" s="1622"/>
      <c r="AN10" s="1584"/>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586"/>
      <c r="AI11" s="1600"/>
      <c r="AJ11" s="1594"/>
      <c r="AK11" s="1592"/>
      <c r="AL11" s="1625"/>
      <c r="AM11" s="1623"/>
      <c r="AN11" s="1584"/>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595">
        <v>3</v>
      </c>
      <c r="AI12" s="1599"/>
      <c r="AJ12" s="1593"/>
      <c r="AK12" s="1591"/>
      <c r="AL12" s="1626">
        <f>P31</f>
        <v>0</v>
      </c>
      <c r="AM12" s="1591"/>
      <c r="AN12" s="1584"/>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586"/>
      <c r="AI13" s="1600"/>
      <c r="AJ13" s="1594"/>
      <c r="AK13" s="1592"/>
      <c r="AL13" s="1627"/>
      <c r="AM13" s="1592"/>
      <c r="AN13" s="1584"/>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595">
        <v>4</v>
      </c>
      <c r="AI14" s="1599"/>
      <c r="AJ14" s="1593"/>
      <c r="AK14" s="1591"/>
      <c r="AL14" s="1626">
        <f>Q31</f>
        <v>0</v>
      </c>
      <c r="AM14" s="1622"/>
      <c r="AN14" s="1584"/>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586"/>
      <c r="AI15" s="1600"/>
      <c r="AJ15" s="1594"/>
      <c r="AK15" s="1592"/>
      <c r="AL15" s="1627"/>
      <c r="AM15" s="1623"/>
      <c r="AN15" s="1584"/>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588">
        <v>5</v>
      </c>
      <c r="AI16" s="1591"/>
      <c r="AJ16" s="1593"/>
      <c r="AK16" s="1587"/>
      <c r="AL16" s="1645">
        <f>R31</f>
        <v>0</v>
      </c>
      <c r="AM16" s="1644"/>
      <c r="AN16" s="1584"/>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588"/>
      <c r="AI17" s="1592"/>
      <c r="AJ17" s="1594"/>
      <c r="AK17" s="1587"/>
      <c r="AL17" s="1645"/>
      <c r="AM17" s="1644"/>
      <c r="AN17" s="1584"/>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588">
        <v>6</v>
      </c>
      <c r="AI18" s="1591"/>
      <c r="AJ18" s="1593"/>
      <c r="AK18" s="1587"/>
      <c r="AL18" s="1590">
        <f>S31</f>
        <v>0</v>
      </c>
      <c r="AM18" s="1587"/>
      <c r="AN18" s="1584"/>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588"/>
      <c r="AI19" s="1592"/>
      <c r="AJ19" s="1594"/>
      <c r="AK19" s="1587"/>
      <c r="AL19" s="1590"/>
      <c r="AM19" s="1587"/>
      <c r="AN19" s="1584"/>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588">
        <v>7</v>
      </c>
      <c r="AI20" s="1591"/>
      <c r="AJ20" s="1593"/>
      <c r="AK20" s="1587"/>
      <c r="AL20" s="1590">
        <f>T31</f>
        <v>0</v>
      </c>
      <c r="AM20" s="1587"/>
      <c r="AN20" s="1584"/>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588"/>
      <c r="AI21" s="1592"/>
      <c r="AJ21" s="1594"/>
      <c r="AK21" s="1587"/>
      <c r="AL21" s="1590"/>
      <c r="AM21" s="1587"/>
      <c r="AN21" s="1584"/>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588">
        <v>8</v>
      </c>
      <c r="AI22" s="1587"/>
      <c r="AJ22" s="1589"/>
      <c r="AK22" s="1587"/>
      <c r="AL22" s="1590">
        <f>U31</f>
        <v>0</v>
      </c>
      <c r="AM22" s="1587"/>
      <c r="AN22" s="1584"/>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588"/>
      <c r="AI23" s="1587"/>
      <c r="AJ23" s="1589"/>
      <c r="AK23" s="1587"/>
      <c r="AL23" s="1590"/>
      <c r="AM23" s="1587"/>
      <c r="AN23" s="1584"/>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588">
        <v>9</v>
      </c>
      <c r="AI24" s="1591"/>
      <c r="AJ24" s="1593"/>
      <c r="AK24" s="1587"/>
      <c r="AL24" s="1590">
        <f>V31</f>
        <v>0</v>
      </c>
      <c r="AM24" s="1587"/>
      <c r="AN24" s="1584"/>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588"/>
      <c r="AI25" s="1592"/>
      <c r="AJ25" s="1594"/>
      <c r="AK25" s="1587"/>
      <c r="AL25" s="1590"/>
      <c r="AM25" s="1587"/>
      <c r="AN25" s="1584"/>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588">
        <v>10</v>
      </c>
      <c r="AI26" s="1587"/>
      <c r="AJ26" s="1589"/>
      <c r="AK26" s="1587"/>
      <c r="AL26" s="1590">
        <f>W31</f>
        <v>0</v>
      </c>
      <c r="AM26" s="1587"/>
      <c r="AN26" s="1584"/>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588"/>
      <c r="AI27" s="1587"/>
      <c r="AJ27" s="1589"/>
      <c r="AK27" s="1587"/>
      <c r="AL27" s="1590"/>
      <c r="AM27" s="1587"/>
      <c r="AN27" s="1584"/>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641" t="s">
        <v>394</v>
      </c>
      <c r="O30" s="1642"/>
      <c r="P30" s="1642"/>
      <c r="Q30" s="1642"/>
      <c r="R30" s="1642"/>
      <c r="S30" s="1642"/>
      <c r="T30" s="1642"/>
      <c r="U30" s="1642"/>
      <c r="V30" s="1642"/>
      <c r="W30" s="1642"/>
      <c r="X30" s="1642"/>
      <c r="Y30" s="1642"/>
      <c r="Z30" s="1642"/>
      <c r="AA30" s="1642"/>
      <c r="AB30" s="1642"/>
      <c r="AC30" s="1642"/>
      <c r="AD30" s="1642"/>
      <c r="AE30" s="1643"/>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M18:AM19"/>
    <mergeCell ref="AL18:AL19"/>
    <mergeCell ref="AM16:AM17"/>
    <mergeCell ref="AL16:AL17"/>
    <mergeCell ref="AK22:AK23"/>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AM10:AM11"/>
    <mergeCell ref="AL10:AL11"/>
    <mergeCell ref="AK10:AK11"/>
    <mergeCell ref="AJ10:AJ11"/>
    <mergeCell ref="AI10:AI11"/>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I8:AI9"/>
    <mergeCell ref="AK8:AK9"/>
    <mergeCell ref="AJ8:AJ9"/>
    <mergeCell ref="AJ16:AJ17"/>
    <mergeCell ref="AJ22:AJ23"/>
    <mergeCell ref="AI16:AI17"/>
    <mergeCell ref="AK16:AK17"/>
    <mergeCell ref="AI18:AI19"/>
    <mergeCell ref="AI14:AI15"/>
    <mergeCell ref="AK18:AK19"/>
    <mergeCell ref="AJ18:AJ19"/>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N8:AN9"/>
    <mergeCell ref="AN10:AN11"/>
    <mergeCell ref="AN12:AN13"/>
    <mergeCell ref="AN14:AN15"/>
    <mergeCell ref="AN16:AN17"/>
    <mergeCell ref="AN18:AN19"/>
    <mergeCell ref="AN20:AN21"/>
    <mergeCell ref="AN22:AN23"/>
    <mergeCell ref="AN24:AN25"/>
    <mergeCell ref="AN26:AN27"/>
  </mergeCells>
  <phoneticPr fontId="3" type="noConversion"/>
  <conditionalFormatting sqref="B8:AF29">
    <cfRule type="expression" dxfId="153" priority="2" stopIfTrue="1">
      <formula>MOD(ROW(),2)=0</formula>
    </cfRule>
  </conditionalFormatting>
  <conditionalFormatting sqref="AH29:AM29 AJ8:AM8 AI8:AI14 AJ10:AJ14 AH8:AH28 AK10:AM28 AI12:AJ28">
    <cfRule type="expression" dxfId="152" priority="1">
      <formula>MOD(ROW(),4)=0</formula>
    </cfRule>
  </conditionalFormatting>
  <dataValidations count="1">
    <dataValidation type="list" allowBlank="1" showInputMessage="1" showErrorMessage="1" sqref="B1:AM2">
      <formula1>Court_Name</formula1>
    </dataValidation>
  </dataValidations>
  <hyperlinks>
    <hyperlink ref="B8:C8" location="'1-DUI (Reduce Base)'!A1" display="'1-DUI (Reduce Base)'!A1"/>
    <hyperlink ref="B9:C9" location="'2-DUI (Reduce Base)'!A1" display="'2-DUI (Reduce Base)'!A1"/>
    <hyperlink ref="B10:C10" location="'3-RD (Reduce Base)'!A1" display="'3-RD (Reduce Base)'!A1"/>
    <hyperlink ref="B11:C11" location="'4-RRBF'!A1" display="'4-RRBF'!A1"/>
    <hyperlink ref="B12:C12" location="'5-RRTS (BF &amp; No 2%)'!A1" display="'5-RRTS (BF &amp; No 2%)'!A1"/>
    <hyperlink ref="B13:C13" location="'6-RLBF'!A1" display="'6-RLBF'!A1"/>
    <hyperlink ref="B14:C14" location="'7-RLTS'!A1" display="'7-RLTS'!A1"/>
    <hyperlink ref="B15:C15" location="'8-RLBF (No 30%)'!A1" display="'8-RLBF (No 30%)'!A1"/>
    <hyperlink ref="B16:C16" location="'9-SpBF'!A1" display="'9-SpBF'!A1"/>
    <hyperlink ref="B17:C17" location="'10-SpTS'!A1" display="'10-SpTS'!A1"/>
    <hyperlink ref="B18:C18" location="'11-CSBF'!A1" display="'11-CSBF'!A1"/>
    <hyperlink ref="B19:C19" location="'12-CSTS (BF &amp; 2%)'!A1" display="'12-CSTS (BF &amp; 2%)'!A1"/>
    <hyperlink ref="B20:C20" location="'13-UC'!A1" display="'13-UC'!A1"/>
    <hyperlink ref="B21:C21" location="'14-POC'!A1" display="'14-POC'!A1"/>
    <hyperlink ref="B22:C22" location="'15-POI (Base Reduce)'!A1" display="'15-POI (Base Reduce)'!A1"/>
    <hyperlink ref="B23:C23" location="'16-DV'!A1" display="'16-DV'!A1"/>
    <hyperlink ref="B24:C24" location="'17-HS (Enhance Base)'!A1" display="'17-HS (Enhance Base)'!A1"/>
    <hyperlink ref="B25:C25" location="'18-HS (Enh-Red Base)'!A1" display="'18-HS (Enh-Red Base)'!A1"/>
    <hyperlink ref="B26:C26" location="'19-FG'!A1" display="'19-FG'!A1"/>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646" t="s">
        <v>103</v>
      </c>
      <c r="D8" s="1646"/>
      <c r="E8" s="1646"/>
      <c r="F8" s="1646"/>
      <c r="G8" s="1646"/>
      <c r="H8" s="1646"/>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243" t="s">
        <v>361</v>
      </c>
      <c r="G3" s="1244"/>
      <c r="H3" s="1245"/>
    </row>
    <row r="4" spans="1:8" s="2" customFormat="1" ht="25.5" x14ac:dyDescent="0.2">
      <c r="A4" s="42" t="s">
        <v>173</v>
      </c>
      <c r="B4" s="42" t="s">
        <v>9</v>
      </c>
      <c r="C4" s="42" t="s">
        <v>176</v>
      </c>
      <c r="D4" s="42" t="s">
        <v>177</v>
      </c>
      <c r="E4" s="493" t="s">
        <v>206</v>
      </c>
      <c r="F4" s="1246"/>
      <c r="G4" s="1247"/>
      <c r="H4" s="1248"/>
    </row>
    <row r="5" spans="1:8" s="1" customFormat="1" ht="25.5" x14ac:dyDescent="0.2">
      <c r="A5" s="41" t="s">
        <v>172</v>
      </c>
      <c r="B5" s="41" t="s">
        <v>174</v>
      </c>
      <c r="C5" s="41" t="s">
        <v>369</v>
      </c>
      <c r="D5" s="41" t="s">
        <v>178</v>
      </c>
      <c r="E5" s="494" t="s">
        <v>180</v>
      </c>
      <c r="F5" s="1246"/>
      <c r="G5" s="1247"/>
      <c r="H5" s="1248"/>
    </row>
    <row r="6" spans="1:8" s="1" customFormat="1" ht="39" thickBot="1" x14ac:dyDescent="0.25">
      <c r="A6" s="41" t="s">
        <v>181</v>
      </c>
      <c r="B6" s="41" t="s">
        <v>182</v>
      </c>
      <c r="C6" s="41" t="s">
        <v>183</v>
      </c>
      <c r="D6" s="41" t="s">
        <v>192</v>
      </c>
      <c r="E6" s="495" t="s">
        <v>207</v>
      </c>
      <c r="F6" s="1249"/>
      <c r="G6" s="1250"/>
      <c r="H6" s="1251"/>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669" t="s">
        <v>258</v>
      </c>
      <c r="B1" s="1670"/>
      <c r="C1" s="1670"/>
      <c r="D1" s="1670"/>
      <c r="E1" s="1670"/>
      <c r="F1" s="1670"/>
      <c r="G1" s="1670"/>
      <c r="H1" s="1670"/>
      <c r="I1" s="1670"/>
      <c r="J1" s="1670"/>
      <c r="K1" s="1670"/>
      <c r="L1" s="1667" t="s">
        <v>282</v>
      </c>
      <c r="M1" s="1667"/>
      <c r="N1" s="1667"/>
      <c r="O1" s="1667"/>
      <c r="P1" s="1667"/>
      <c r="Q1" s="1667"/>
      <c r="R1" s="1667"/>
      <c r="S1" s="1668"/>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675" t="s">
        <v>234</v>
      </c>
      <c r="B3" s="1676"/>
      <c r="C3" s="1676"/>
      <c r="D3" s="1676"/>
      <c r="E3" s="1676"/>
      <c r="F3" s="1676"/>
      <c r="G3" s="1676"/>
      <c r="H3" s="1676"/>
      <c r="I3" s="1676"/>
      <c r="J3" s="1676"/>
      <c r="K3" s="1676"/>
      <c r="L3" s="1676"/>
      <c r="M3" s="1676"/>
      <c r="N3" s="1677"/>
      <c r="O3" s="175"/>
      <c r="P3" s="1678" t="s">
        <v>261</v>
      </c>
      <c r="Q3" s="1679"/>
      <c r="R3" s="1679"/>
      <c r="S3" s="1680"/>
      <c r="U3" s="174" t="s">
        <v>250</v>
      </c>
    </row>
    <row r="4" spans="1:24" s="57" customFormat="1" ht="15.75" x14ac:dyDescent="0.2">
      <c r="A4" s="1379" t="s">
        <v>231</v>
      </c>
      <c r="B4" s="1380"/>
      <c r="C4" s="1380"/>
      <c r="D4" s="1335" t="str">
        <f>L1</f>
        <v>CASE NUMBER</v>
      </c>
      <c r="E4" s="1336"/>
      <c r="F4" s="1687" t="s">
        <v>28</v>
      </c>
      <c r="G4" s="1382"/>
      <c r="H4" s="208"/>
      <c r="I4" s="1673" t="s">
        <v>263</v>
      </c>
      <c r="J4" s="1674"/>
      <c r="K4" s="1382" t="s">
        <v>257</v>
      </c>
      <c r="L4" s="1382"/>
      <c r="M4" s="1382"/>
      <c r="N4" s="209">
        <v>390</v>
      </c>
      <c r="O4" s="56"/>
      <c r="P4" s="1681" t="s">
        <v>236</v>
      </c>
      <c r="Q4" s="1682"/>
      <c r="R4" s="1682"/>
      <c r="S4" s="1683"/>
      <c r="U4" s="172" t="s">
        <v>31</v>
      </c>
      <c r="V4" s="176">
        <f>SUMIF(G16:G43,"STATE",L16:L43)</f>
        <v>860.54000000000008</v>
      </c>
    </row>
    <row r="5" spans="1:24" s="57" customFormat="1" ht="15.75" x14ac:dyDescent="0.2">
      <c r="A5" s="1384" t="s">
        <v>4</v>
      </c>
      <c r="B5" s="1385"/>
      <c r="C5" s="1385"/>
      <c r="D5" s="1289"/>
      <c r="E5" s="1283"/>
      <c r="F5" s="1278" t="s">
        <v>244</v>
      </c>
      <c r="G5" s="1387"/>
      <c r="H5" s="185"/>
      <c r="I5" s="1282" t="s">
        <v>265</v>
      </c>
      <c r="J5" s="1293"/>
      <c r="K5" s="1387" t="s">
        <v>22</v>
      </c>
      <c r="L5" s="1387"/>
      <c r="M5" s="1387"/>
      <c r="N5" s="58"/>
      <c r="O5" s="56"/>
      <c r="P5" s="1684" t="s">
        <v>237</v>
      </c>
      <c r="Q5" s="1685"/>
      <c r="R5" s="1685"/>
      <c r="S5" s="1686"/>
      <c r="U5" s="172" t="s">
        <v>32</v>
      </c>
      <c r="V5" s="176">
        <f>SUMIF(G16:G43,"COUNTY",L16:L43)</f>
        <v>1069.46</v>
      </c>
    </row>
    <row r="6" spans="1:24" s="57" customFormat="1" ht="16.5" thickBot="1" x14ac:dyDescent="0.25">
      <c r="A6" s="1384" t="s">
        <v>12</v>
      </c>
      <c r="B6" s="1385"/>
      <c r="C6" s="1385"/>
      <c r="D6" s="1282"/>
      <c r="E6" s="1283"/>
      <c r="F6" s="1278" t="s">
        <v>20</v>
      </c>
      <c r="G6" s="1387"/>
      <c r="H6" s="185"/>
      <c r="I6" s="1282" t="s">
        <v>266</v>
      </c>
      <c r="J6" s="1293"/>
      <c r="K6" s="1664" t="s">
        <v>233</v>
      </c>
      <c r="L6" s="1664"/>
      <c r="M6" s="1664"/>
      <c r="N6" s="212">
        <f>N4+N5*10</f>
        <v>390</v>
      </c>
      <c r="O6" s="56"/>
      <c r="P6" s="1708" t="s">
        <v>238</v>
      </c>
      <c r="Q6" s="1709"/>
      <c r="R6" s="1709"/>
      <c r="S6" s="1710"/>
      <c r="U6" s="172" t="s">
        <v>52</v>
      </c>
      <c r="V6" s="176">
        <f>SUMIF(G16:G43,"CITY",L16:L43)</f>
        <v>0</v>
      </c>
    </row>
    <row r="7" spans="1:24" s="57" customFormat="1" ht="16.5" thickBot="1" x14ac:dyDescent="0.25">
      <c r="A7" s="1384" t="s">
        <v>5</v>
      </c>
      <c r="B7" s="1385"/>
      <c r="C7" s="1385"/>
      <c r="D7" s="1282" t="s">
        <v>264</v>
      </c>
      <c r="E7" s="1283"/>
      <c r="F7" s="1285" t="s">
        <v>21</v>
      </c>
      <c r="G7" s="1399"/>
      <c r="H7" s="186"/>
      <c r="I7" s="1286"/>
      <c r="J7" s="1287"/>
      <c r="K7" s="1690"/>
      <c r="L7" s="1691"/>
      <c r="M7" s="1691"/>
      <c r="N7" s="213"/>
      <c r="O7" s="56"/>
      <c r="P7" s="1711" t="s">
        <v>235</v>
      </c>
      <c r="Q7" s="1712"/>
      <c r="R7" s="1712"/>
      <c r="S7" s="1713"/>
      <c r="U7" s="172" t="s">
        <v>230</v>
      </c>
      <c r="V7" s="176">
        <f>SUMIF(G16:G43,"COURT",L16:L43)</f>
        <v>0</v>
      </c>
    </row>
    <row r="8" spans="1:24" s="57" customFormat="1" ht="15.75" x14ac:dyDescent="0.2">
      <c r="A8" s="1386" t="s">
        <v>54</v>
      </c>
      <c r="B8" s="1387"/>
      <c r="C8" s="1387"/>
      <c r="D8" s="1671">
        <v>1</v>
      </c>
      <c r="E8" s="1672"/>
      <c r="F8" s="1334" t="s">
        <v>253</v>
      </c>
      <c r="G8" s="1380"/>
      <c r="H8" s="187"/>
      <c r="I8" s="1302"/>
      <c r="J8" s="1304"/>
      <c r="K8" s="1380" t="s">
        <v>257</v>
      </c>
      <c r="L8" s="1380"/>
      <c r="M8" s="1380"/>
      <c r="N8" s="55">
        <v>0</v>
      </c>
      <c r="O8" s="56"/>
      <c r="P8" s="1725" t="s">
        <v>255</v>
      </c>
      <c r="Q8" s="1726"/>
      <c r="R8" s="1726"/>
      <c r="S8" s="1727"/>
      <c r="U8" s="194" t="s">
        <v>251</v>
      </c>
      <c r="V8" s="176">
        <f>SUMIF(G16:G43,"Crt OR Cty",L16:L43)</f>
        <v>10</v>
      </c>
    </row>
    <row r="9" spans="1:24" s="57" customFormat="1" ht="18" customHeight="1" thickBot="1" x14ac:dyDescent="0.25">
      <c r="A9" s="1693" t="s">
        <v>53</v>
      </c>
      <c r="B9" s="1664"/>
      <c r="C9" s="1664"/>
      <c r="D9" s="1404">
        <f>100%-D8</f>
        <v>0</v>
      </c>
      <c r="E9" s="1405"/>
      <c r="F9" s="1278" t="s">
        <v>244</v>
      </c>
      <c r="G9" s="1387"/>
      <c r="H9" s="185"/>
      <c r="I9" s="1282"/>
      <c r="J9" s="1293"/>
      <c r="K9" s="1387" t="s">
        <v>22</v>
      </c>
      <c r="L9" s="1387"/>
      <c r="M9" s="1387"/>
      <c r="N9" s="58"/>
      <c r="P9" s="1728"/>
      <c r="Q9" s="1729"/>
      <c r="R9" s="1729"/>
      <c r="S9" s="1730"/>
      <c r="U9" s="173" t="s">
        <v>246</v>
      </c>
      <c r="V9" s="148">
        <f>SUM(V4:V8)</f>
        <v>1940</v>
      </c>
      <c r="W9" s="65"/>
    </row>
    <row r="10" spans="1:24" s="57" customFormat="1" ht="16.5" customHeight="1" thickBot="1" x14ac:dyDescent="0.25">
      <c r="A10" s="1436" t="s">
        <v>276</v>
      </c>
      <c r="B10" s="1437"/>
      <c r="C10" s="1437"/>
      <c r="D10" s="1651">
        <f>N6+N10</f>
        <v>390</v>
      </c>
      <c r="E10" s="1652"/>
      <c r="F10" s="1278" t="s">
        <v>20</v>
      </c>
      <c r="G10" s="1387"/>
      <c r="H10" s="185"/>
      <c r="I10" s="1282"/>
      <c r="J10" s="1293"/>
      <c r="K10" s="1664" t="s">
        <v>233</v>
      </c>
      <c r="L10" s="1664"/>
      <c r="M10" s="1664"/>
      <c r="N10" s="212">
        <f>N8+N9*10</f>
        <v>0</v>
      </c>
      <c r="P10" s="1722" t="s">
        <v>239</v>
      </c>
      <c r="Q10" s="1723"/>
      <c r="R10" s="1723"/>
      <c r="S10" s="1724"/>
      <c r="V10" s="177">
        <f>V9-L45</f>
        <v>0</v>
      </c>
      <c r="W10" s="65"/>
    </row>
    <row r="11" spans="1:24" s="57" customFormat="1" ht="16.5" customHeight="1" thickBot="1" x14ac:dyDescent="0.25">
      <c r="A11" s="1439" t="s">
        <v>277</v>
      </c>
      <c r="B11" s="1440"/>
      <c r="C11" s="1440"/>
      <c r="D11" s="1649">
        <f>ROUNDUP(D10/10,0)</f>
        <v>39</v>
      </c>
      <c r="E11" s="1650"/>
      <c r="F11" s="1285" t="s">
        <v>21</v>
      </c>
      <c r="G11" s="1399"/>
      <c r="H11" s="186"/>
      <c r="I11" s="1286"/>
      <c r="J11" s="1287"/>
      <c r="K11" s="1662"/>
      <c r="L11" s="1663"/>
      <c r="M11" s="1663"/>
      <c r="N11" s="214"/>
      <c r="P11" s="1702" t="s">
        <v>245</v>
      </c>
      <c r="Q11" s="1703"/>
      <c r="R11" s="1703"/>
      <c r="S11" s="1704"/>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344" t="s">
        <v>228</v>
      </c>
      <c r="J13" s="1345"/>
      <c r="K13" s="1345"/>
      <c r="L13" s="1346"/>
      <c r="M13" s="110"/>
      <c r="N13" s="1705" t="s">
        <v>229</v>
      </c>
      <c r="O13" s="1706"/>
      <c r="P13" s="1707"/>
      <c r="Q13" s="111"/>
      <c r="R13" s="158"/>
      <c r="S13" s="159"/>
      <c r="T13" s="108"/>
      <c r="U13" s="108"/>
      <c r="V13" s="108"/>
      <c r="W13" s="108"/>
      <c r="X13" s="108"/>
    </row>
    <row r="14" spans="1:24" ht="44.25" customHeight="1" thickBot="1" x14ac:dyDescent="0.25">
      <c r="A14" s="112">
        <v>0.02</v>
      </c>
      <c r="B14" s="112" t="s">
        <v>58</v>
      </c>
      <c r="C14" s="1364" t="s">
        <v>226</v>
      </c>
      <c r="D14" s="1365"/>
      <c r="E14" s="1365"/>
      <c r="F14" s="1366"/>
      <c r="G14" s="113" t="s">
        <v>249</v>
      </c>
      <c r="H14" s="114" t="s">
        <v>0</v>
      </c>
      <c r="I14" s="188" t="s">
        <v>247</v>
      </c>
      <c r="J14" s="120" t="s">
        <v>252</v>
      </c>
      <c r="K14" s="118" t="s">
        <v>6</v>
      </c>
      <c r="L14" s="119" t="s">
        <v>240</v>
      </c>
      <c r="M14" s="67"/>
      <c r="N14" s="1716" t="s">
        <v>260</v>
      </c>
      <c r="O14" s="1717"/>
      <c r="P14" s="120" t="s">
        <v>248</v>
      </c>
      <c r="Q14" s="121"/>
      <c r="R14" s="1720" t="s">
        <v>256</v>
      </c>
      <c r="S14" s="1718" t="s">
        <v>61</v>
      </c>
    </row>
    <row r="15" spans="1:24" ht="19.5" customHeight="1" thickBot="1" x14ac:dyDescent="0.25">
      <c r="A15" s="115"/>
      <c r="B15" s="115"/>
      <c r="C15" s="1367"/>
      <c r="D15" s="1368"/>
      <c r="E15" s="1368"/>
      <c r="F15" s="1369"/>
      <c r="G15" s="116"/>
      <c r="H15" s="116"/>
      <c r="I15" s="117"/>
      <c r="J15" s="161">
        <f>J33/I33</f>
        <v>0.71794871794871795</v>
      </c>
      <c r="K15" s="1688" t="s">
        <v>227</v>
      </c>
      <c r="L15" s="1689"/>
      <c r="M15" s="68"/>
      <c r="N15" s="1714"/>
      <c r="O15" s="1715"/>
      <c r="P15" s="189"/>
      <c r="Q15" s="121"/>
      <c r="R15" s="1721"/>
      <c r="S15" s="1719"/>
    </row>
    <row r="16" spans="1:24" s="74" customFormat="1" ht="15.75" customHeight="1" thickTop="1" x14ac:dyDescent="0.2">
      <c r="A16" s="69" t="s">
        <v>8</v>
      </c>
      <c r="B16" s="1660" t="s">
        <v>241</v>
      </c>
      <c r="C16" s="1692" t="s">
        <v>242</v>
      </c>
      <c r="D16" s="1692"/>
      <c r="E16" s="1692"/>
      <c r="F16" s="1692"/>
      <c r="G16" s="70" t="s">
        <v>32</v>
      </c>
      <c r="H16" s="71" t="s">
        <v>14</v>
      </c>
      <c r="I16" s="154">
        <v>50</v>
      </c>
      <c r="J16" s="160">
        <f>I16</f>
        <v>50</v>
      </c>
      <c r="K16" s="162">
        <f>IF(A16="Y", IF($K$15="BASE-UP",I16*2%, IF($K$15="TOP-DOWN", J16*2%,0)),0)</f>
        <v>1</v>
      </c>
      <c r="L16" s="166">
        <f t="shared" ref="L16:L32" si="0">IF($K$15="BASE-UP", I16-K16, IF($K$15="TOP-DOWN", J16-K16,0))</f>
        <v>49</v>
      </c>
      <c r="M16" s="164"/>
      <c r="N16" s="1731"/>
      <c r="O16" s="1732"/>
      <c r="P16" s="190">
        <v>50</v>
      </c>
      <c r="Q16" s="72"/>
      <c r="R16" s="181">
        <f>P16-L16</f>
        <v>1</v>
      </c>
      <c r="S16" s="105"/>
      <c r="T16" s="125"/>
      <c r="U16" s="125"/>
      <c r="V16" s="125"/>
      <c r="W16" s="125"/>
      <c r="X16" s="125"/>
    </row>
    <row r="17" spans="1:24" s="74" customFormat="1" ht="15.75" customHeight="1" x14ac:dyDescent="0.2">
      <c r="A17" s="69" t="s">
        <v>8</v>
      </c>
      <c r="B17" s="1660"/>
      <c r="C17" s="1659" t="s">
        <v>283</v>
      </c>
      <c r="D17" s="1659"/>
      <c r="E17" s="1659"/>
      <c r="F17" s="1659"/>
      <c r="G17" s="76" t="s">
        <v>32</v>
      </c>
      <c r="H17" s="77" t="s">
        <v>14</v>
      </c>
      <c r="I17" s="156">
        <v>50</v>
      </c>
      <c r="J17" s="155">
        <f>I17</f>
        <v>50</v>
      </c>
      <c r="K17" s="162">
        <f t="shared" ref="K17:K42" si="1">IF(A17="Y", IF($K$15="BASE-UP",I17*2%, IF($K$15="TOP-DOWN", J17*2%,0)),0)</f>
        <v>1</v>
      </c>
      <c r="L17" s="167">
        <f t="shared" si="0"/>
        <v>49</v>
      </c>
      <c r="M17" s="164"/>
      <c r="N17" s="1665"/>
      <c r="O17" s="1666"/>
      <c r="P17" s="78"/>
      <c r="Q17" s="72"/>
      <c r="R17" s="182">
        <f t="shared" ref="R17:R43" si="2">P17-L17</f>
        <v>-49</v>
      </c>
      <c r="S17" s="73"/>
      <c r="T17" s="125"/>
      <c r="U17" s="125"/>
      <c r="V17" s="125"/>
      <c r="W17" s="125"/>
      <c r="X17" s="125"/>
    </row>
    <row r="18" spans="1:24" s="74" customFormat="1" ht="15.75" customHeight="1" x14ac:dyDescent="0.2">
      <c r="A18" s="69" t="s">
        <v>8</v>
      </c>
      <c r="B18" s="1660"/>
      <c r="C18" s="1659" t="s">
        <v>243</v>
      </c>
      <c r="D18" s="1659"/>
      <c r="E18" s="1659"/>
      <c r="F18" s="1659"/>
      <c r="G18" s="76" t="s">
        <v>31</v>
      </c>
      <c r="H18" s="77" t="s">
        <v>51</v>
      </c>
      <c r="I18" s="156">
        <v>20</v>
      </c>
      <c r="J18" s="155">
        <f>I18</f>
        <v>20</v>
      </c>
      <c r="K18" s="162">
        <f t="shared" si="1"/>
        <v>0.4</v>
      </c>
      <c r="L18" s="167">
        <f t="shared" si="0"/>
        <v>19.600000000000001</v>
      </c>
      <c r="M18" s="164"/>
      <c r="N18" s="1665"/>
      <c r="O18" s="1666"/>
      <c r="P18" s="78"/>
      <c r="Q18" s="72"/>
      <c r="R18" s="182">
        <f t="shared" si="2"/>
        <v>-19.600000000000001</v>
      </c>
      <c r="S18" s="73"/>
      <c r="T18" s="125"/>
      <c r="U18" s="125"/>
      <c r="V18" s="125"/>
      <c r="W18" s="125"/>
      <c r="X18" s="125"/>
    </row>
    <row r="19" spans="1:24" s="74" customFormat="1" ht="15.75" customHeight="1" x14ac:dyDescent="0.2">
      <c r="A19" s="69" t="s">
        <v>8</v>
      </c>
      <c r="B19" s="1660"/>
      <c r="C19" s="1659" t="s">
        <v>212</v>
      </c>
      <c r="D19" s="1659"/>
      <c r="E19" s="1659"/>
      <c r="F19" s="1659"/>
      <c r="G19" s="76" t="s">
        <v>32</v>
      </c>
      <c r="H19" s="77" t="s">
        <v>27</v>
      </c>
      <c r="I19" s="155">
        <f>(D10-SUM(I16:I18))*D8</f>
        <v>270</v>
      </c>
      <c r="J19" s="155">
        <f>((SUM(I16:I20)*J15)-SUM(J16:J18))*D8</f>
        <v>160</v>
      </c>
      <c r="K19" s="162">
        <f t="shared" si="1"/>
        <v>5.4</v>
      </c>
      <c r="L19" s="167">
        <f t="shared" si="0"/>
        <v>264.60000000000002</v>
      </c>
      <c r="M19" s="164"/>
      <c r="N19" s="1665"/>
      <c r="O19" s="1666"/>
      <c r="P19" s="78"/>
      <c r="Q19" s="72"/>
      <c r="R19" s="182">
        <f t="shared" si="2"/>
        <v>-264.60000000000002</v>
      </c>
      <c r="S19" s="73"/>
      <c r="T19" s="125"/>
      <c r="U19" s="125"/>
      <c r="V19" s="125"/>
      <c r="W19" s="125"/>
      <c r="X19" s="125"/>
    </row>
    <row r="20" spans="1:24" s="74" customFormat="1" ht="15.75" customHeight="1" x14ac:dyDescent="0.2">
      <c r="A20" s="69" t="s">
        <v>8</v>
      </c>
      <c r="B20" s="1661"/>
      <c r="C20" s="1659" t="s">
        <v>213</v>
      </c>
      <c r="D20" s="1659"/>
      <c r="E20" s="1659"/>
      <c r="F20" s="1659"/>
      <c r="G20" s="76" t="s">
        <v>52</v>
      </c>
      <c r="H20" s="77" t="s">
        <v>25</v>
      </c>
      <c r="I20" s="155">
        <f>(D10-SUM(I16:I18))*D9</f>
        <v>0</v>
      </c>
      <c r="J20" s="155">
        <f>((SUM(I16:I20)*J15)-SUM(J16:J18))*D9</f>
        <v>0</v>
      </c>
      <c r="K20" s="162">
        <f t="shared" si="1"/>
        <v>0</v>
      </c>
      <c r="L20" s="167">
        <f t="shared" si="0"/>
        <v>0</v>
      </c>
      <c r="M20" s="164"/>
      <c r="N20" s="1665"/>
      <c r="O20" s="1666"/>
      <c r="P20" s="78"/>
      <c r="Q20" s="72"/>
      <c r="R20" s="182">
        <f t="shared" si="2"/>
        <v>0</v>
      </c>
      <c r="S20" s="73"/>
      <c r="T20" s="125"/>
      <c r="U20" s="125"/>
      <c r="V20" s="125"/>
      <c r="W20" s="125"/>
      <c r="X20" s="125"/>
    </row>
    <row r="21" spans="1:24" s="74" customFormat="1" ht="15.75" customHeight="1" x14ac:dyDescent="0.2">
      <c r="A21" s="69" t="s">
        <v>8</v>
      </c>
      <c r="B21" s="75">
        <v>7</v>
      </c>
      <c r="C21" s="1659" t="s">
        <v>214</v>
      </c>
      <c r="D21" s="1659"/>
      <c r="E21" s="1659"/>
      <c r="F21" s="1659"/>
      <c r="G21" s="76" t="s">
        <v>31</v>
      </c>
      <c r="H21" s="77" t="s">
        <v>26</v>
      </c>
      <c r="I21" s="155">
        <f>$D$11*B21</f>
        <v>273</v>
      </c>
      <c r="J21" s="155">
        <f>$J$15*I21</f>
        <v>196</v>
      </c>
      <c r="K21" s="162">
        <f t="shared" si="1"/>
        <v>5.46</v>
      </c>
      <c r="L21" s="167">
        <f t="shared" si="0"/>
        <v>267.54000000000002</v>
      </c>
      <c r="M21" s="164"/>
      <c r="N21" s="1665"/>
      <c r="O21" s="1666"/>
      <c r="P21" s="80"/>
      <c r="Q21" s="81"/>
      <c r="R21" s="182">
        <f t="shared" si="2"/>
        <v>-267.54000000000002</v>
      </c>
      <c r="S21" s="73"/>
      <c r="T21" s="125"/>
      <c r="U21" s="125"/>
      <c r="V21" s="125"/>
      <c r="W21" s="125"/>
      <c r="X21" s="125"/>
    </row>
    <row r="22" spans="1:24" s="74" customFormat="1" ht="15.75" customHeight="1" x14ac:dyDescent="0.2">
      <c r="A22" s="69" t="s">
        <v>8</v>
      </c>
      <c r="B22" s="75">
        <v>3</v>
      </c>
      <c r="C22" s="1665" t="s">
        <v>215</v>
      </c>
      <c r="D22" s="1700"/>
      <c r="E22" s="1700"/>
      <c r="F22" s="1701"/>
      <c r="G22" s="76" t="s">
        <v>32</v>
      </c>
      <c r="H22" s="77" t="s">
        <v>27</v>
      </c>
      <c r="I22" s="155">
        <f t="shared" ref="I22:I31" si="3">$D$11*B22</f>
        <v>117</v>
      </c>
      <c r="J22" s="155">
        <f t="shared" ref="J22:J32" si="4">$J$15*I22</f>
        <v>84</v>
      </c>
      <c r="K22" s="162">
        <f t="shared" si="1"/>
        <v>2.34</v>
      </c>
      <c r="L22" s="167">
        <f t="shared" si="0"/>
        <v>114.66</v>
      </c>
      <c r="M22" s="164"/>
      <c r="N22" s="1665"/>
      <c r="O22" s="1666"/>
      <c r="P22" s="78"/>
      <c r="Q22" s="72"/>
      <c r="R22" s="182">
        <f t="shared" si="2"/>
        <v>-114.66</v>
      </c>
      <c r="S22" s="73"/>
      <c r="T22" s="125"/>
      <c r="U22" s="125"/>
      <c r="V22" s="125"/>
      <c r="W22" s="125"/>
      <c r="X22" s="125"/>
    </row>
    <row r="23" spans="1:24" s="74" customFormat="1" ht="15.75" customHeight="1" x14ac:dyDescent="0.2">
      <c r="A23" s="69" t="s">
        <v>8</v>
      </c>
      <c r="B23" s="75">
        <v>1</v>
      </c>
      <c r="C23" s="1665" t="s">
        <v>216</v>
      </c>
      <c r="D23" s="1700"/>
      <c r="E23" s="1700"/>
      <c r="F23" s="1701"/>
      <c r="G23" s="76" t="s">
        <v>32</v>
      </c>
      <c r="H23" s="77" t="s">
        <v>55</v>
      </c>
      <c r="I23" s="155">
        <f t="shared" si="3"/>
        <v>39</v>
      </c>
      <c r="J23" s="155">
        <f t="shared" si="4"/>
        <v>28</v>
      </c>
      <c r="K23" s="162">
        <f t="shared" si="1"/>
        <v>0.78</v>
      </c>
      <c r="L23" s="167">
        <f t="shared" si="0"/>
        <v>38.22</v>
      </c>
      <c r="M23" s="164"/>
      <c r="N23" s="1665"/>
      <c r="O23" s="1666"/>
      <c r="P23" s="78"/>
      <c r="Q23" s="72"/>
      <c r="R23" s="182">
        <f t="shared" si="2"/>
        <v>-38.22</v>
      </c>
      <c r="S23" s="82"/>
      <c r="T23" s="125"/>
      <c r="U23" s="125"/>
      <c r="V23" s="125"/>
      <c r="W23" s="125"/>
      <c r="X23" s="125"/>
    </row>
    <row r="24" spans="1:24" s="74" customFormat="1" ht="15.75" customHeight="1" x14ac:dyDescent="0.2">
      <c r="A24" s="69" t="s">
        <v>8</v>
      </c>
      <c r="B24" s="75">
        <v>3</v>
      </c>
      <c r="C24" s="1665" t="s">
        <v>278</v>
      </c>
      <c r="D24" s="1700"/>
      <c r="E24" s="1700"/>
      <c r="F24" s="1701"/>
      <c r="G24" s="76" t="s">
        <v>31</v>
      </c>
      <c r="H24" s="77" t="s">
        <v>72</v>
      </c>
      <c r="I24" s="155">
        <f t="shared" si="3"/>
        <v>117</v>
      </c>
      <c r="J24" s="155">
        <f t="shared" si="4"/>
        <v>84</v>
      </c>
      <c r="K24" s="162">
        <f t="shared" si="1"/>
        <v>2.34</v>
      </c>
      <c r="L24" s="167">
        <f t="shared" si="0"/>
        <v>114.66</v>
      </c>
      <c r="M24" s="164"/>
      <c r="N24" s="1665"/>
      <c r="O24" s="1666"/>
      <c r="P24" s="78"/>
      <c r="Q24" s="72"/>
      <c r="R24" s="182">
        <f t="shared" si="2"/>
        <v>-114.66</v>
      </c>
      <c r="S24" s="73"/>
      <c r="T24" s="125"/>
      <c r="U24" s="125"/>
      <c r="V24" s="125"/>
      <c r="W24" s="125"/>
      <c r="X24" s="125"/>
    </row>
    <row r="25" spans="1:24" s="74" customFormat="1" ht="15.75" customHeight="1" x14ac:dyDescent="0.2">
      <c r="A25" s="69" t="s">
        <v>8</v>
      </c>
      <c r="B25" s="178">
        <v>2</v>
      </c>
      <c r="C25" s="1659" t="s">
        <v>217</v>
      </c>
      <c r="D25" s="1659"/>
      <c r="E25" s="1653" t="str">
        <f>IF(SUM(B25:B28)=7,"GC 76000 PA ($7 for every 10) breakdown per local board of supervisor resolution (BOS).","ERROR! GC 76000 PA total is not $7. Check Court's board resolution.")</f>
        <v>GC 76000 PA ($7 for every 10) breakdown per local board of supervisor resolution (BOS).</v>
      </c>
      <c r="F25" s="1654"/>
      <c r="G25" s="76" t="s">
        <v>32</v>
      </c>
      <c r="H25" s="77" t="s">
        <v>64</v>
      </c>
      <c r="I25" s="155">
        <f t="shared" si="3"/>
        <v>78</v>
      </c>
      <c r="J25" s="155">
        <f t="shared" si="4"/>
        <v>56</v>
      </c>
      <c r="K25" s="162">
        <f t="shared" si="1"/>
        <v>1.56</v>
      </c>
      <c r="L25" s="167">
        <f t="shared" si="0"/>
        <v>76.44</v>
      </c>
      <c r="M25" s="164"/>
      <c r="N25" s="1665"/>
      <c r="O25" s="1666"/>
      <c r="P25" s="78"/>
      <c r="Q25" s="72"/>
      <c r="R25" s="182">
        <f t="shared" si="2"/>
        <v>-76.44</v>
      </c>
      <c r="S25" s="82"/>
      <c r="T25" s="125"/>
      <c r="U25" s="125"/>
      <c r="V25" s="125"/>
      <c r="W25" s="125"/>
      <c r="X25" s="125"/>
    </row>
    <row r="26" spans="1:24" s="74" customFormat="1" ht="15.75" customHeight="1" x14ac:dyDescent="0.2">
      <c r="A26" s="69" t="s">
        <v>8</v>
      </c>
      <c r="B26" s="178">
        <v>3</v>
      </c>
      <c r="C26" s="1659" t="s">
        <v>218</v>
      </c>
      <c r="D26" s="1659"/>
      <c r="E26" s="1655"/>
      <c r="F26" s="1656"/>
      <c r="G26" s="76" t="s">
        <v>32</v>
      </c>
      <c r="H26" s="77" t="s">
        <v>35</v>
      </c>
      <c r="I26" s="155">
        <f t="shared" si="3"/>
        <v>117</v>
      </c>
      <c r="J26" s="155">
        <f t="shared" si="4"/>
        <v>84</v>
      </c>
      <c r="K26" s="162">
        <f t="shared" si="1"/>
        <v>2.34</v>
      </c>
      <c r="L26" s="167">
        <f t="shared" si="0"/>
        <v>114.66</v>
      </c>
      <c r="M26" s="164"/>
      <c r="N26" s="1665"/>
      <c r="O26" s="1666"/>
      <c r="P26" s="78"/>
      <c r="Q26" s="72"/>
      <c r="R26" s="182">
        <f t="shared" si="2"/>
        <v>-114.66</v>
      </c>
      <c r="S26" s="82"/>
      <c r="T26" s="125"/>
      <c r="U26" s="125"/>
      <c r="V26" s="125"/>
      <c r="W26" s="125"/>
      <c r="X26" s="125"/>
    </row>
    <row r="27" spans="1:24" s="74" customFormat="1" ht="15.75" customHeight="1" x14ac:dyDescent="0.2">
      <c r="A27" s="69" t="s">
        <v>8</v>
      </c>
      <c r="B27" s="178">
        <v>2</v>
      </c>
      <c r="C27" s="1659" t="s">
        <v>219</v>
      </c>
      <c r="D27" s="1659"/>
      <c r="E27" s="1655"/>
      <c r="F27" s="1656"/>
      <c r="G27" s="76" t="s">
        <v>32</v>
      </c>
      <c r="H27" s="77" t="s">
        <v>65</v>
      </c>
      <c r="I27" s="155">
        <f t="shared" si="3"/>
        <v>78</v>
      </c>
      <c r="J27" s="155">
        <f t="shared" si="4"/>
        <v>56</v>
      </c>
      <c r="K27" s="162">
        <f t="shared" si="1"/>
        <v>1.56</v>
      </c>
      <c r="L27" s="167">
        <f t="shared" si="0"/>
        <v>76.44</v>
      </c>
      <c r="M27" s="164"/>
      <c r="N27" s="1665"/>
      <c r="O27" s="1666"/>
      <c r="P27" s="78"/>
      <c r="Q27" s="72"/>
      <c r="R27" s="182">
        <f t="shared" si="2"/>
        <v>-76.44</v>
      </c>
      <c r="S27" s="82"/>
      <c r="T27" s="125"/>
      <c r="U27" s="125"/>
      <c r="V27" s="125"/>
      <c r="W27" s="125"/>
      <c r="X27" s="125"/>
    </row>
    <row r="28" spans="1:24" s="74" customFormat="1" ht="15.75" customHeight="1" x14ac:dyDescent="0.2">
      <c r="A28" s="69" t="s">
        <v>8</v>
      </c>
      <c r="B28" s="178"/>
      <c r="C28" s="1659" t="s">
        <v>254</v>
      </c>
      <c r="D28" s="1659"/>
      <c r="E28" s="1657"/>
      <c r="F28" s="1658"/>
      <c r="G28" s="76" t="s">
        <v>32</v>
      </c>
      <c r="H28" s="77"/>
      <c r="I28" s="155">
        <f t="shared" si="3"/>
        <v>0</v>
      </c>
      <c r="J28" s="155">
        <f t="shared" si="4"/>
        <v>0</v>
      </c>
      <c r="K28" s="162">
        <f t="shared" si="1"/>
        <v>0</v>
      </c>
      <c r="L28" s="167">
        <f t="shared" si="0"/>
        <v>0</v>
      </c>
      <c r="M28" s="164"/>
      <c r="N28" s="1665"/>
      <c r="O28" s="1666"/>
      <c r="P28" s="78"/>
      <c r="Q28" s="72"/>
      <c r="R28" s="182">
        <f t="shared" si="2"/>
        <v>0</v>
      </c>
      <c r="S28" s="82"/>
      <c r="T28" s="125"/>
      <c r="U28" s="125"/>
      <c r="V28" s="125"/>
      <c r="W28" s="125"/>
      <c r="X28" s="125"/>
    </row>
    <row r="29" spans="1:24" s="85" customFormat="1" ht="15.75" customHeight="1" x14ac:dyDescent="0.2">
      <c r="A29" s="69" t="s">
        <v>8</v>
      </c>
      <c r="B29" s="79">
        <v>2</v>
      </c>
      <c r="C29" s="1449" t="s">
        <v>286</v>
      </c>
      <c r="D29" s="1459"/>
      <c r="E29" s="1459"/>
      <c r="F29" s="1460"/>
      <c r="G29" s="83" t="s">
        <v>32</v>
      </c>
      <c r="H29" s="84" t="s">
        <v>36</v>
      </c>
      <c r="I29" s="155">
        <f t="shared" si="3"/>
        <v>78</v>
      </c>
      <c r="J29" s="155">
        <f t="shared" si="4"/>
        <v>56</v>
      </c>
      <c r="K29" s="162">
        <f t="shared" si="1"/>
        <v>1.56</v>
      </c>
      <c r="L29" s="167">
        <f t="shared" si="0"/>
        <v>76.44</v>
      </c>
      <c r="M29" s="164"/>
      <c r="N29" s="1665"/>
      <c r="O29" s="1666"/>
      <c r="P29" s="78"/>
      <c r="Q29" s="72"/>
      <c r="R29" s="182">
        <f>P29-L29</f>
        <v>-76.44</v>
      </c>
      <c r="S29" s="82"/>
      <c r="T29" s="127"/>
      <c r="U29" s="127"/>
      <c r="V29" s="127"/>
      <c r="W29" s="127"/>
      <c r="X29" s="127"/>
    </row>
    <row r="30" spans="1:24" s="74" customFormat="1" ht="15.75" customHeight="1" x14ac:dyDescent="0.2">
      <c r="A30" s="69" t="s">
        <v>8</v>
      </c>
      <c r="B30" s="179">
        <f>5-B25</f>
        <v>3</v>
      </c>
      <c r="C30" s="1449" t="s">
        <v>280</v>
      </c>
      <c r="D30" s="1459"/>
      <c r="E30" s="1459"/>
      <c r="F30" s="1591" t="s">
        <v>281</v>
      </c>
      <c r="G30" s="83" t="s">
        <v>31</v>
      </c>
      <c r="H30" s="84" t="s">
        <v>37</v>
      </c>
      <c r="I30" s="155">
        <f t="shared" si="3"/>
        <v>117</v>
      </c>
      <c r="J30" s="155">
        <f t="shared" si="4"/>
        <v>84</v>
      </c>
      <c r="K30" s="162">
        <f t="shared" si="1"/>
        <v>2.34</v>
      </c>
      <c r="L30" s="167">
        <f t="shared" si="0"/>
        <v>114.66</v>
      </c>
      <c r="M30" s="164"/>
      <c r="N30" s="1665"/>
      <c r="O30" s="1666"/>
      <c r="P30" s="78"/>
      <c r="Q30" s="72"/>
      <c r="R30" s="182">
        <f t="shared" si="2"/>
        <v>-114.66</v>
      </c>
      <c r="S30" s="82"/>
      <c r="T30" s="125"/>
      <c r="U30" s="125"/>
      <c r="V30" s="125"/>
      <c r="W30" s="125"/>
      <c r="X30" s="125"/>
    </row>
    <row r="31" spans="1:24" s="74" customFormat="1" ht="15.75" customHeight="1" x14ac:dyDescent="0.2">
      <c r="A31" s="69" t="s">
        <v>8</v>
      </c>
      <c r="B31" s="179">
        <f>B25</f>
        <v>2</v>
      </c>
      <c r="C31" s="1449" t="s">
        <v>279</v>
      </c>
      <c r="D31" s="1459"/>
      <c r="E31" s="1459"/>
      <c r="F31" s="1592"/>
      <c r="G31" s="83" t="s">
        <v>31</v>
      </c>
      <c r="H31" s="84" t="s">
        <v>197</v>
      </c>
      <c r="I31" s="155">
        <f t="shared" si="3"/>
        <v>78</v>
      </c>
      <c r="J31" s="155">
        <f t="shared" si="4"/>
        <v>56</v>
      </c>
      <c r="K31" s="162">
        <f t="shared" si="1"/>
        <v>1.56</v>
      </c>
      <c r="L31" s="167">
        <f t="shared" si="0"/>
        <v>76.44</v>
      </c>
      <c r="M31" s="164"/>
      <c r="N31" s="1665"/>
      <c r="O31" s="1666"/>
      <c r="P31" s="78"/>
      <c r="Q31" s="72"/>
      <c r="R31" s="182">
        <f t="shared" si="2"/>
        <v>-76.44</v>
      </c>
      <c r="S31" s="82"/>
      <c r="T31" s="125"/>
      <c r="U31" s="125"/>
      <c r="V31" s="125"/>
      <c r="W31" s="125"/>
      <c r="X31" s="125"/>
    </row>
    <row r="32" spans="1:24" s="85" customFormat="1" ht="15.75" customHeight="1" x14ac:dyDescent="0.2">
      <c r="A32" s="69"/>
      <c r="B32" s="75"/>
      <c r="C32" s="1449" t="s">
        <v>220</v>
      </c>
      <c r="D32" s="1459"/>
      <c r="E32" s="1459"/>
      <c r="F32" s="1460"/>
      <c r="G32" s="83" t="s">
        <v>31</v>
      </c>
      <c r="H32" s="84" t="s">
        <v>10</v>
      </c>
      <c r="I32" s="155">
        <f>$D$10*20%</f>
        <v>78</v>
      </c>
      <c r="J32" s="155">
        <f t="shared" si="4"/>
        <v>56</v>
      </c>
      <c r="K32" s="162"/>
      <c r="L32" s="167">
        <f t="shared" si="0"/>
        <v>78</v>
      </c>
      <c r="M32" s="164"/>
      <c r="N32" s="1665"/>
      <c r="O32" s="1666"/>
      <c r="P32" s="78"/>
      <c r="Q32" s="72"/>
      <c r="R32" s="182">
        <f t="shared" si="2"/>
        <v>-78</v>
      </c>
      <c r="S32" s="82"/>
      <c r="T32" s="127"/>
      <c r="U32" s="127"/>
      <c r="V32" s="127"/>
      <c r="W32" s="127"/>
      <c r="X32" s="127"/>
    </row>
    <row r="33" spans="1:24" s="90" customFormat="1" ht="15.75" customHeight="1" x14ac:dyDescent="0.2">
      <c r="A33" s="69"/>
      <c r="B33" s="86"/>
      <c r="C33" s="1456" t="s">
        <v>221</v>
      </c>
      <c r="D33" s="1694"/>
      <c r="E33" s="1694"/>
      <c r="F33" s="1695"/>
      <c r="G33" s="87"/>
      <c r="H33" s="88"/>
      <c r="I33" s="157">
        <f>SUM(I16:I32)</f>
        <v>1560</v>
      </c>
      <c r="J33" s="157">
        <f>J45-SUM(J34:J42)</f>
        <v>1120</v>
      </c>
      <c r="K33" s="162"/>
      <c r="L33" s="168">
        <f>SUM(L16:L32)</f>
        <v>1530.3600000000004</v>
      </c>
      <c r="M33" s="165"/>
      <c r="N33" s="1449"/>
      <c r="O33" s="1699"/>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449" t="s">
        <v>287</v>
      </c>
      <c r="D34" s="1459"/>
      <c r="E34" s="1459"/>
      <c r="F34" s="1460"/>
      <c r="G34" s="83" t="s">
        <v>31</v>
      </c>
      <c r="H34" s="91" t="s">
        <v>39</v>
      </c>
      <c r="I34" s="204">
        <v>30</v>
      </c>
      <c r="J34" s="155">
        <f>I34</f>
        <v>30</v>
      </c>
      <c r="K34" s="162">
        <f t="shared" si="1"/>
        <v>0</v>
      </c>
      <c r="L34" s="167">
        <f t="shared" ref="L34:L42" si="5">IF($K$15="BASE-UP", I34-K34, IF($K$15="TOP-DOWN", J34-K34,0))</f>
        <v>30</v>
      </c>
      <c r="M34" s="164"/>
      <c r="N34" s="1665"/>
      <c r="O34" s="1666"/>
      <c r="P34" s="78"/>
      <c r="Q34" s="72"/>
      <c r="R34" s="182">
        <f t="shared" si="2"/>
        <v>-30</v>
      </c>
      <c r="S34" s="73"/>
      <c r="T34" s="127"/>
      <c r="U34" s="127"/>
      <c r="V34" s="127"/>
      <c r="W34" s="127"/>
      <c r="X34" s="127"/>
    </row>
    <row r="35" spans="1:24" s="85" customFormat="1" ht="15.75" customHeight="1" x14ac:dyDescent="0.2">
      <c r="A35" s="69" t="s">
        <v>7</v>
      </c>
      <c r="B35" s="75"/>
      <c r="C35" s="1446" t="s">
        <v>259</v>
      </c>
      <c r="D35" s="1447"/>
      <c r="E35" s="1447"/>
      <c r="F35" s="1448"/>
      <c r="G35" s="153" t="s">
        <v>31</v>
      </c>
      <c r="H35" s="92" t="s">
        <v>197</v>
      </c>
      <c r="I35" s="204">
        <v>30</v>
      </c>
      <c r="J35" s="155">
        <f t="shared" ref="J35:J42" si="6">I35</f>
        <v>30</v>
      </c>
      <c r="K35" s="162">
        <f t="shared" si="1"/>
        <v>0</v>
      </c>
      <c r="L35" s="167">
        <f t="shared" si="5"/>
        <v>30</v>
      </c>
      <c r="M35" s="164"/>
      <c r="N35" s="1665"/>
      <c r="O35" s="1666"/>
      <c r="P35" s="78"/>
      <c r="Q35" s="72"/>
      <c r="R35" s="182">
        <f t="shared" si="2"/>
        <v>-30</v>
      </c>
      <c r="S35" s="73"/>
      <c r="T35" s="127"/>
      <c r="U35" s="127"/>
      <c r="V35" s="127"/>
      <c r="W35" s="127"/>
      <c r="X35" s="127"/>
    </row>
    <row r="36" spans="1:24" s="74" customFormat="1" ht="15.75" customHeight="1" x14ac:dyDescent="0.2">
      <c r="A36" s="69" t="s">
        <v>7</v>
      </c>
      <c r="B36" s="94"/>
      <c r="C36" s="1446" t="s">
        <v>232</v>
      </c>
      <c r="D36" s="1447"/>
      <c r="E36" s="1447"/>
      <c r="F36" s="1448"/>
      <c r="G36" s="153" t="s">
        <v>251</v>
      </c>
      <c r="H36" s="92" t="s">
        <v>24</v>
      </c>
      <c r="I36" s="204">
        <v>10</v>
      </c>
      <c r="J36" s="155">
        <f t="shared" si="6"/>
        <v>10</v>
      </c>
      <c r="K36" s="162">
        <f t="shared" si="1"/>
        <v>0</v>
      </c>
      <c r="L36" s="167">
        <f t="shared" si="5"/>
        <v>10</v>
      </c>
      <c r="M36" s="164"/>
      <c r="N36" s="1665"/>
      <c r="O36" s="1666"/>
      <c r="P36" s="78"/>
      <c r="Q36" s="72"/>
      <c r="R36" s="182">
        <f t="shared" si="2"/>
        <v>-10</v>
      </c>
      <c r="S36" s="77"/>
      <c r="T36" s="125"/>
      <c r="U36" s="125"/>
      <c r="V36" s="125"/>
      <c r="W36" s="125"/>
      <c r="X36" s="125"/>
    </row>
    <row r="37" spans="1:24" s="74" customFormat="1" ht="15.75" customHeight="1" x14ac:dyDescent="0.2">
      <c r="A37" s="69" t="s">
        <v>7</v>
      </c>
      <c r="B37" s="94"/>
      <c r="C37" s="1446" t="s">
        <v>222</v>
      </c>
      <c r="D37" s="1447"/>
      <c r="E37" s="1447"/>
      <c r="F37" s="1448"/>
      <c r="G37" s="153" t="s">
        <v>32</v>
      </c>
      <c r="H37" s="92" t="s">
        <v>15</v>
      </c>
      <c r="I37" s="204">
        <v>50</v>
      </c>
      <c r="J37" s="155">
        <f t="shared" si="6"/>
        <v>50</v>
      </c>
      <c r="K37" s="162">
        <f t="shared" si="1"/>
        <v>0</v>
      </c>
      <c r="L37" s="167">
        <f t="shared" si="5"/>
        <v>50</v>
      </c>
      <c r="M37" s="164"/>
      <c r="N37" s="1665"/>
      <c r="O37" s="1666"/>
      <c r="P37" s="78"/>
      <c r="Q37" s="72"/>
      <c r="R37" s="182">
        <f t="shared" si="2"/>
        <v>-50</v>
      </c>
      <c r="S37" s="77"/>
      <c r="T37" s="125"/>
      <c r="U37" s="125"/>
      <c r="V37" s="125"/>
      <c r="W37" s="125"/>
      <c r="X37" s="125"/>
    </row>
    <row r="38" spans="1:24" s="74" customFormat="1" ht="15.75" customHeight="1" x14ac:dyDescent="0.2">
      <c r="A38" s="69" t="s">
        <v>7</v>
      </c>
      <c r="B38" s="94"/>
      <c r="C38" s="1446" t="s">
        <v>284</v>
      </c>
      <c r="D38" s="1447"/>
      <c r="E38" s="1447"/>
      <c r="F38" s="1448"/>
      <c r="G38" s="153" t="s">
        <v>32</v>
      </c>
      <c r="H38" s="92" t="s">
        <v>27</v>
      </c>
      <c r="I38" s="204">
        <v>150</v>
      </c>
      <c r="J38" s="155">
        <f t="shared" si="6"/>
        <v>150</v>
      </c>
      <c r="K38" s="162">
        <f t="shared" si="1"/>
        <v>0</v>
      </c>
      <c r="L38" s="167">
        <f t="shared" si="5"/>
        <v>150</v>
      </c>
      <c r="M38" s="164"/>
      <c r="N38" s="1665"/>
      <c r="O38" s="1666"/>
      <c r="P38" s="78"/>
      <c r="Q38" s="72"/>
      <c r="R38" s="182">
        <f t="shared" si="2"/>
        <v>-150</v>
      </c>
      <c r="S38" s="77"/>
      <c r="T38" s="125"/>
      <c r="U38" s="125"/>
      <c r="V38" s="125"/>
      <c r="W38" s="125"/>
      <c r="X38" s="125"/>
    </row>
    <row r="39" spans="1:24" s="74" customFormat="1" ht="15.75" customHeight="1" x14ac:dyDescent="0.2">
      <c r="A39" s="69" t="s">
        <v>8</v>
      </c>
      <c r="B39" s="94"/>
      <c r="C39" s="1446" t="s">
        <v>223</v>
      </c>
      <c r="D39" s="1447"/>
      <c r="E39" s="1447"/>
      <c r="F39" s="1448"/>
      <c r="G39" s="153" t="s">
        <v>31</v>
      </c>
      <c r="H39" s="92" t="s">
        <v>13</v>
      </c>
      <c r="I39" s="204">
        <v>100</v>
      </c>
      <c r="J39" s="155">
        <f t="shared" si="6"/>
        <v>100</v>
      </c>
      <c r="K39" s="162">
        <f t="shared" si="1"/>
        <v>2</v>
      </c>
      <c r="L39" s="167">
        <f t="shared" si="5"/>
        <v>98</v>
      </c>
      <c r="M39" s="164"/>
      <c r="N39" s="1665"/>
      <c r="O39" s="1666"/>
      <c r="P39" s="78"/>
      <c r="Q39" s="72"/>
      <c r="R39" s="182">
        <f t="shared" si="2"/>
        <v>-98</v>
      </c>
      <c r="S39" s="77"/>
      <c r="T39" s="125"/>
      <c r="U39" s="125"/>
      <c r="V39" s="125"/>
      <c r="W39" s="125"/>
      <c r="X39" s="125"/>
    </row>
    <row r="40" spans="1:24" s="74" customFormat="1" ht="15.75" customHeight="1" x14ac:dyDescent="0.2">
      <c r="A40" s="69" t="s">
        <v>7</v>
      </c>
      <c r="B40" s="94"/>
      <c r="C40" s="1446" t="s">
        <v>262</v>
      </c>
      <c r="D40" s="1447"/>
      <c r="E40" s="1447"/>
      <c r="F40" s="1448"/>
      <c r="G40" s="153" t="s">
        <v>32</v>
      </c>
      <c r="H40" s="92" t="s">
        <v>27</v>
      </c>
      <c r="I40" s="204">
        <v>10</v>
      </c>
      <c r="J40" s="155">
        <f t="shared" si="6"/>
        <v>10</v>
      </c>
      <c r="K40" s="162">
        <f t="shared" si="1"/>
        <v>0</v>
      </c>
      <c r="L40" s="167">
        <f t="shared" si="5"/>
        <v>10</v>
      </c>
      <c r="M40" s="164"/>
      <c r="N40" s="1665"/>
      <c r="O40" s="1666"/>
      <c r="P40" s="78"/>
      <c r="Q40" s="72"/>
      <c r="R40" s="182">
        <f t="shared" si="2"/>
        <v>-10</v>
      </c>
      <c r="S40" s="77"/>
      <c r="T40" s="125"/>
      <c r="U40" s="125"/>
      <c r="V40" s="125"/>
      <c r="W40" s="125"/>
      <c r="X40" s="125"/>
    </row>
    <row r="41" spans="1:24" s="74" customFormat="1" ht="15.75" customHeight="1" x14ac:dyDescent="0.2">
      <c r="A41" s="69" t="s">
        <v>7</v>
      </c>
      <c r="B41" s="94"/>
      <c r="C41" s="1446" t="s">
        <v>285</v>
      </c>
      <c r="D41" s="1447"/>
      <c r="E41" s="1447"/>
      <c r="F41" s="1448"/>
      <c r="G41" s="153" t="s">
        <v>230</v>
      </c>
      <c r="H41" s="92" t="s">
        <v>82</v>
      </c>
      <c r="I41" s="204">
        <v>0</v>
      </c>
      <c r="J41" s="155">
        <f t="shared" si="6"/>
        <v>0</v>
      </c>
      <c r="K41" s="162">
        <f t="shared" si="1"/>
        <v>0</v>
      </c>
      <c r="L41" s="167">
        <f t="shared" si="5"/>
        <v>0</v>
      </c>
      <c r="M41" s="164"/>
      <c r="N41" s="1665"/>
      <c r="O41" s="1666"/>
      <c r="P41" s="78"/>
      <c r="Q41" s="72"/>
      <c r="R41" s="182">
        <f t="shared" si="2"/>
        <v>0</v>
      </c>
      <c r="S41" s="77"/>
      <c r="T41" s="125"/>
      <c r="U41" s="125"/>
      <c r="V41" s="125"/>
      <c r="W41" s="125"/>
      <c r="X41" s="125"/>
    </row>
    <row r="42" spans="1:24" s="74" customFormat="1" ht="15.75" customHeight="1" x14ac:dyDescent="0.2">
      <c r="A42" s="69" t="s">
        <v>7</v>
      </c>
      <c r="B42" s="94"/>
      <c r="C42" s="1446" t="s">
        <v>225</v>
      </c>
      <c r="D42" s="1447"/>
      <c r="E42" s="1447"/>
      <c r="F42" s="1448"/>
      <c r="G42" s="153" t="s">
        <v>31</v>
      </c>
      <c r="H42" s="92" t="s">
        <v>80</v>
      </c>
      <c r="I42" s="205"/>
      <c r="J42" s="155">
        <f t="shared" si="6"/>
        <v>0</v>
      </c>
      <c r="K42" s="162">
        <f t="shared" si="1"/>
        <v>0</v>
      </c>
      <c r="L42" s="167">
        <f t="shared" si="5"/>
        <v>0</v>
      </c>
      <c r="M42" s="164"/>
      <c r="N42" s="1665"/>
      <c r="O42" s="1666"/>
      <c r="P42" s="78"/>
      <c r="Q42" s="72"/>
      <c r="R42" s="182">
        <f t="shared" si="2"/>
        <v>0</v>
      </c>
      <c r="S42" s="77"/>
      <c r="T42" s="125"/>
      <c r="U42" s="125"/>
      <c r="V42" s="125"/>
      <c r="W42" s="125"/>
      <c r="X42" s="125"/>
    </row>
    <row r="43" spans="1:24" s="74" customFormat="1" ht="15.75" customHeight="1" x14ac:dyDescent="0.2">
      <c r="A43" s="93" t="s">
        <v>7</v>
      </c>
      <c r="B43" s="94"/>
      <c r="C43" s="1696" t="s">
        <v>224</v>
      </c>
      <c r="D43" s="1697"/>
      <c r="E43" s="1697"/>
      <c r="F43" s="1698"/>
      <c r="G43" s="95" t="s">
        <v>31</v>
      </c>
      <c r="H43" s="96" t="s">
        <v>41</v>
      </c>
      <c r="I43" s="97"/>
      <c r="J43" s="104"/>
      <c r="K43" s="163"/>
      <c r="L43" s="169">
        <f>K44</f>
        <v>31.639999999999997</v>
      </c>
      <c r="M43" s="164"/>
      <c r="N43" s="1665"/>
      <c r="O43" s="1666"/>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647" t="s">
        <v>61</v>
      </c>
      <c r="B46" s="1647"/>
      <c r="C46" s="1647"/>
      <c r="D46" s="210"/>
      <c r="E46" s="133"/>
      <c r="F46" s="133"/>
      <c r="J46" s="134"/>
      <c r="L46" s="135"/>
      <c r="M46" s="136"/>
      <c r="Q46" s="137"/>
      <c r="R46" s="138"/>
      <c r="S46" s="139"/>
    </row>
    <row r="47" spans="1:24" s="141" customFormat="1" ht="18" customHeight="1" x14ac:dyDescent="0.2">
      <c r="A47" s="140">
        <v>1</v>
      </c>
      <c r="B47" s="1648"/>
      <c r="C47" s="1648"/>
      <c r="D47" s="1648"/>
      <c r="E47" s="1648"/>
      <c r="F47" s="1648"/>
      <c r="G47" s="1648"/>
      <c r="H47" s="1648"/>
      <c r="I47" s="1648"/>
      <c r="J47" s="1648"/>
      <c r="K47" s="1648"/>
      <c r="L47" s="1648"/>
      <c r="M47" s="1648"/>
      <c r="N47" s="1648"/>
      <c r="O47" s="1648"/>
      <c r="P47" s="1648"/>
      <c r="Q47" s="1648"/>
      <c r="R47" s="1648"/>
      <c r="S47" s="1648"/>
    </row>
    <row r="48" spans="1:24" s="141" customFormat="1" ht="18" customHeight="1" x14ac:dyDescent="0.2">
      <c r="A48" s="140">
        <v>2</v>
      </c>
      <c r="B48" s="1648"/>
      <c r="C48" s="1648"/>
      <c r="D48" s="1648"/>
      <c r="E48" s="1648"/>
      <c r="F48" s="1648"/>
      <c r="G48" s="1648"/>
      <c r="H48" s="1648"/>
      <c r="I48" s="1648"/>
      <c r="J48" s="1648"/>
      <c r="K48" s="1648"/>
      <c r="L48" s="1648"/>
      <c r="M48" s="1648"/>
      <c r="N48" s="1648"/>
      <c r="O48" s="1648"/>
      <c r="P48" s="1648"/>
      <c r="Q48" s="1648"/>
      <c r="R48" s="1648"/>
      <c r="S48" s="1648"/>
    </row>
    <row r="49" spans="1:19" s="141" customFormat="1" ht="18" customHeight="1" x14ac:dyDescent="0.2">
      <c r="A49" s="140">
        <v>3</v>
      </c>
      <c r="B49" s="1648"/>
      <c r="C49" s="1648"/>
      <c r="D49" s="1648"/>
      <c r="E49" s="1648"/>
      <c r="F49" s="1648"/>
      <c r="G49" s="1648"/>
      <c r="H49" s="1648"/>
      <c r="I49" s="1648"/>
      <c r="J49" s="1648"/>
      <c r="K49" s="1648"/>
      <c r="L49" s="1648"/>
      <c r="M49" s="1648"/>
      <c r="N49" s="1648"/>
      <c r="O49" s="1648"/>
      <c r="P49" s="1648"/>
      <c r="Q49" s="1648"/>
      <c r="R49" s="1648"/>
      <c r="S49" s="1648"/>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 ref="N25:O25"/>
    <mergeCell ref="C24:F24"/>
    <mergeCell ref="C23:F23"/>
    <mergeCell ref="C22:F22"/>
    <mergeCell ref="C21:F21"/>
    <mergeCell ref="N20:O20"/>
    <mergeCell ref="N21:O21"/>
    <mergeCell ref="N22:O22"/>
    <mergeCell ref="N19:O19"/>
    <mergeCell ref="C20:F20"/>
    <mergeCell ref="C19:F19"/>
    <mergeCell ref="N26:O26"/>
    <mergeCell ref="N27:O27"/>
    <mergeCell ref="N30:O30"/>
    <mergeCell ref="N29:O29"/>
    <mergeCell ref="N28:O28"/>
    <mergeCell ref="C34:F34"/>
    <mergeCell ref="N31:O31"/>
    <mergeCell ref="C30:E30"/>
    <mergeCell ref="C29:F29"/>
    <mergeCell ref="N32:O32"/>
    <mergeCell ref="N33:O33"/>
    <mergeCell ref="N34:O34"/>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C18:F18"/>
    <mergeCell ref="C17:F17"/>
    <mergeCell ref="C16:F16"/>
    <mergeCell ref="F7:G7"/>
    <mergeCell ref="A9:C9"/>
    <mergeCell ref="A8:C8"/>
    <mergeCell ref="A7:C7"/>
    <mergeCell ref="F10:G10"/>
    <mergeCell ref="F9:G9"/>
    <mergeCell ref="K15:L15"/>
    <mergeCell ref="F6:G6"/>
    <mergeCell ref="D5:E5"/>
    <mergeCell ref="K9:M9"/>
    <mergeCell ref="K8:M8"/>
    <mergeCell ref="K7:M7"/>
    <mergeCell ref="K6:M6"/>
    <mergeCell ref="F5:G5"/>
    <mergeCell ref="I6:J6"/>
    <mergeCell ref="I5:J5"/>
    <mergeCell ref="D6:E6"/>
    <mergeCell ref="I7:J7"/>
    <mergeCell ref="I8:J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s>
  <phoneticPr fontId="3" type="noConversion"/>
  <conditionalFormatting sqref="J34:L43 I29:L29 J16:L32 K17:K42 I19:I32">
    <cfRule type="cellIs" dxfId="151" priority="11" stopIfTrue="1" operator="equal">
      <formula>0</formula>
    </cfRule>
  </conditionalFormatting>
  <conditionalFormatting sqref="H16:H24 H29:H32">
    <cfRule type="expression" dxfId="150" priority="12" stopIfTrue="1">
      <formula>MOD(ROW(),2)=0</formula>
    </cfRule>
  </conditionalFormatting>
  <conditionalFormatting sqref="R50:R65536 R46 R12:R13">
    <cfRule type="cellIs" dxfId="149" priority="13" stopIfTrue="1" operator="notEqual">
      <formula>0</formula>
    </cfRule>
  </conditionalFormatting>
  <conditionalFormatting sqref="H25:H29">
    <cfRule type="expression" dxfId="148" priority="14" stopIfTrue="1">
      <formula>MOD(ROW(), 2)=0</formula>
    </cfRule>
  </conditionalFormatting>
  <conditionalFormatting sqref="I16:I18">
    <cfRule type="cellIs" dxfId="147" priority="15" stopIfTrue="1" operator="equal">
      <formula>0</formula>
    </cfRule>
  </conditionalFormatting>
  <conditionalFormatting sqref="E25">
    <cfRule type="cellIs" dxfId="146" priority="2" operator="notEqual">
      <formula>"GC 76000 PA ($7 for every 10) breakdown per local board of supervisor resolution (BOS)."</formula>
    </cfRule>
  </conditionalFormatting>
  <dataValidations count="1">
    <dataValidation type="list" allowBlank="1" showInputMessage="1" showErrorMessage="1" sqref="K15:L15">
      <formula1>Distribution_Method</formula1>
    </dataValidation>
  </dataValidations>
  <printOptions horizontalCentered="1"/>
  <pageMargins left="0.25" right="0.25" top="0.75" bottom="0.5" header="0.25" footer="0.25"/>
  <pageSetup scale="59"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69" t="s">
        <v>258</v>
      </c>
      <c r="B1" s="1670"/>
      <c r="C1" s="1670"/>
      <c r="D1" s="1670"/>
      <c r="E1" s="1670"/>
      <c r="F1" s="1670"/>
      <c r="G1" s="1670"/>
      <c r="H1" s="1670"/>
      <c r="I1" s="1670"/>
      <c r="J1" s="1670"/>
      <c r="K1" s="1670"/>
      <c r="L1" s="1670"/>
      <c r="M1" s="1667"/>
      <c r="N1" s="1667"/>
      <c r="O1" s="1667"/>
      <c r="P1" s="1667"/>
      <c r="Q1" s="1667"/>
      <c r="R1" s="1667"/>
      <c r="S1" s="1667"/>
      <c r="T1" s="1667"/>
      <c r="U1" s="1667"/>
      <c r="V1" s="1667"/>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675" t="s">
        <v>234</v>
      </c>
      <c r="B3" s="1676"/>
      <c r="C3" s="1676"/>
      <c r="D3" s="1676"/>
      <c r="E3" s="1676"/>
      <c r="F3" s="1676"/>
      <c r="G3" s="1676"/>
      <c r="H3" s="1676"/>
      <c r="I3" s="1676"/>
      <c r="J3" s="1676"/>
      <c r="K3" s="1676"/>
      <c r="L3" s="1676"/>
      <c r="M3" s="1676"/>
      <c r="N3" s="1676"/>
      <c r="O3" s="1676"/>
      <c r="P3" s="1677"/>
      <c r="Q3" s="237"/>
      <c r="R3" s="1792" t="s">
        <v>261</v>
      </c>
      <c r="S3" s="1793"/>
      <c r="T3" s="1793"/>
      <c r="U3" s="1793"/>
      <c r="V3" s="1793"/>
      <c r="W3" s="1793"/>
      <c r="X3" s="1794"/>
      <c r="Z3" s="174" t="s">
        <v>250</v>
      </c>
      <c r="AA3" s="132"/>
    </row>
    <row r="4" spans="1:29" s="57" customFormat="1" ht="15.75" x14ac:dyDescent="0.2">
      <c r="A4" s="1379" t="s">
        <v>231</v>
      </c>
      <c r="B4" s="1380"/>
      <c r="C4" s="1380"/>
      <c r="D4" s="1335">
        <f>M1</f>
        <v>0</v>
      </c>
      <c r="E4" s="1336"/>
      <c r="F4" s="1300" t="s">
        <v>563</v>
      </c>
      <c r="G4" s="1301"/>
      <c r="H4" s="208"/>
      <c r="I4" s="1795"/>
      <c r="J4" s="1795"/>
      <c r="K4" s="1795"/>
      <c r="L4" s="1795"/>
      <c r="M4" s="1795"/>
      <c r="N4" s="1383" t="s">
        <v>257</v>
      </c>
      <c r="O4" s="1383"/>
      <c r="P4" s="209">
        <v>0</v>
      </c>
      <c r="Q4" s="238"/>
      <c r="R4" s="1796" t="s">
        <v>236</v>
      </c>
      <c r="S4" s="1797"/>
      <c r="T4" s="1797"/>
      <c r="U4" s="1797"/>
      <c r="V4" s="1797"/>
      <c r="W4" s="1797"/>
      <c r="X4" s="1798"/>
      <c r="Z4" s="271" t="s">
        <v>308</v>
      </c>
      <c r="AA4" s="269" t="s">
        <v>309</v>
      </c>
      <c r="AB4" s="269" t="s">
        <v>310</v>
      </c>
    </row>
    <row r="5" spans="1:29" s="57" customFormat="1" ht="15.75" x14ac:dyDescent="0.2">
      <c r="A5" s="1384" t="s">
        <v>4</v>
      </c>
      <c r="B5" s="1385"/>
      <c r="C5" s="1385"/>
      <c r="D5" s="1289"/>
      <c r="E5" s="1283"/>
      <c r="F5" s="1386" t="s">
        <v>244</v>
      </c>
      <c r="G5" s="1387"/>
      <c r="H5" s="185"/>
      <c r="I5" s="1393"/>
      <c r="J5" s="1393"/>
      <c r="K5" s="1393"/>
      <c r="L5" s="1393"/>
      <c r="M5" s="1393"/>
      <c r="N5" s="1388" t="s">
        <v>22</v>
      </c>
      <c r="O5" s="1388"/>
      <c r="P5" s="58"/>
      <c r="Q5" s="238"/>
      <c r="R5" s="1789" t="s">
        <v>302</v>
      </c>
      <c r="S5" s="1790"/>
      <c r="T5" s="1790"/>
      <c r="U5" s="1790"/>
      <c r="V5" s="1790"/>
      <c r="W5" s="1790"/>
      <c r="X5" s="1791"/>
      <c r="Z5" s="172" t="s">
        <v>31</v>
      </c>
      <c r="AA5" s="176">
        <f>SUMIF($G$16:$G$48,"STATE",$L$16:$L$48)</f>
        <v>245.60000000000002</v>
      </c>
      <c r="AB5" s="176">
        <f>SUMIF($G$16:$G$48,"STATE",$T$16:$T$48)</f>
        <v>0</v>
      </c>
    </row>
    <row r="6" spans="1:29" s="57" customFormat="1" ht="16.5" thickBot="1" x14ac:dyDescent="0.25">
      <c r="A6" s="1384" t="s">
        <v>12</v>
      </c>
      <c r="B6" s="1385"/>
      <c r="C6" s="1385"/>
      <c r="D6" s="1289"/>
      <c r="E6" s="1290"/>
      <c r="F6" s="1386" t="s">
        <v>20</v>
      </c>
      <c r="G6" s="1387"/>
      <c r="H6" s="185"/>
      <c r="I6" s="1393" t="s">
        <v>11</v>
      </c>
      <c r="J6" s="1393"/>
      <c r="K6" s="1393"/>
      <c r="L6" s="1393"/>
      <c r="M6" s="1393"/>
      <c r="N6" s="1389" t="s">
        <v>233</v>
      </c>
      <c r="O6" s="1389"/>
      <c r="P6" s="212">
        <f>P4+P5*10</f>
        <v>0</v>
      </c>
      <c r="Q6" s="238"/>
      <c r="R6" s="1786" t="s">
        <v>573</v>
      </c>
      <c r="S6" s="1787"/>
      <c r="T6" s="1787"/>
      <c r="U6" s="1787"/>
      <c r="V6" s="1787"/>
      <c r="W6" s="1787"/>
      <c r="X6" s="1788"/>
      <c r="Z6" s="172" t="s">
        <v>32</v>
      </c>
      <c r="AA6" s="176">
        <f>SUMIF($G$16:$G$48,"COUNTY",$L$16:$L$48)</f>
        <v>29.400000000000006</v>
      </c>
      <c r="AB6" s="176">
        <f>SUMIF($G$16:$G$48,"COUNTY",$T$16:$T$48)</f>
        <v>0</v>
      </c>
    </row>
    <row r="7" spans="1:29" s="57" customFormat="1" ht="16.5" thickBot="1" x14ac:dyDescent="0.25">
      <c r="A7" s="1384" t="s">
        <v>5</v>
      </c>
      <c r="B7" s="1385"/>
      <c r="C7" s="1385"/>
      <c r="D7" s="1282"/>
      <c r="E7" s="1283"/>
      <c r="F7" s="1693" t="s">
        <v>21</v>
      </c>
      <c r="G7" s="1664"/>
      <c r="H7" s="241"/>
      <c r="I7" s="1776"/>
      <c r="J7" s="1776"/>
      <c r="K7" s="1776"/>
      <c r="L7" s="1776"/>
      <c r="M7" s="1777"/>
      <c r="N7" s="789"/>
      <c r="O7" s="242"/>
      <c r="P7" s="236"/>
      <c r="Q7" s="238"/>
      <c r="R7" s="1778" t="s">
        <v>235</v>
      </c>
      <c r="S7" s="1779"/>
      <c r="T7" s="1779"/>
      <c r="U7" s="1779"/>
      <c r="V7" s="1779"/>
      <c r="W7" s="1779"/>
      <c r="X7" s="1780"/>
      <c r="Z7" s="172" t="s">
        <v>52</v>
      </c>
      <c r="AA7" s="176">
        <f>SUMIF($G$16:$G$48,"CITY",$L$16:$L$48)</f>
        <v>0</v>
      </c>
      <c r="AB7" s="176">
        <f>SUMIF($G$16:$G$48,"CITY",$T$16:$T$48)</f>
        <v>0</v>
      </c>
    </row>
    <row r="8" spans="1:29" s="57" customFormat="1" ht="15.75" customHeight="1" x14ac:dyDescent="0.2">
      <c r="A8" s="1394" t="s">
        <v>54</v>
      </c>
      <c r="B8" s="1395"/>
      <c r="C8" s="1395"/>
      <c r="D8" s="1781">
        <v>1</v>
      </c>
      <c r="E8" s="1782"/>
      <c r="F8" s="1783" t="s">
        <v>564</v>
      </c>
      <c r="G8" s="1784"/>
      <c r="H8" s="791"/>
      <c r="I8" s="1785"/>
      <c r="J8" s="1785"/>
      <c r="K8" s="1785"/>
      <c r="L8" s="1785"/>
      <c r="M8" s="1785"/>
      <c r="N8" s="1380" t="s">
        <v>257</v>
      </c>
      <c r="O8" s="1380"/>
      <c r="P8" s="55">
        <v>0</v>
      </c>
      <c r="Q8" s="239"/>
      <c r="R8" s="1772" t="s">
        <v>303</v>
      </c>
      <c r="S8" s="1726"/>
      <c r="T8" s="1726"/>
      <c r="U8" s="1726"/>
      <c r="V8" s="1726"/>
      <c r="W8" s="1726"/>
      <c r="X8" s="1773"/>
      <c r="Z8" s="172" t="s">
        <v>230</v>
      </c>
      <c r="AA8" s="176">
        <f>SUMIF($G$16:$G$48,"COURT",$L$16:$L$48)</f>
        <v>0</v>
      </c>
      <c r="AB8" s="176">
        <f>SUMIF($G$16:$G$48,"COURT",$T$16:$T$48)</f>
        <v>0</v>
      </c>
    </row>
    <row r="9" spans="1:29" s="57" customFormat="1" ht="18" customHeight="1" thickBot="1" x14ac:dyDescent="0.25">
      <c r="A9" s="1402" t="s">
        <v>53</v>
      </c>
      <c r="B9" s="1403"/>
      <c r="C9" s="1403"/>
      <c r="D9" s="1404">
        <f>100%-D8</f>
        <v>0</v>
      </c>
      <c r="E9" s="1549"/>
      <c r="F9" s="1386" t="s">
        <v>244</v>
      </c>
      <c r="G9" s="1387"/>
      <c r="H9" s="790"/>
      <c r="I9" s="1393"/>
      <c r="J9" s="1393"/>
      <c r="K9" s="1393"/>
      <c r="L9" s="1393"/>
      <c r="M9" s="1393"/>
      <c r="N9" s="1387" t="s">
        <v>22</v>
      </c>
      <c r="O9" s="1387"/>
      <c r="P9" s="58"/>
      <c r="Q9" s="239"/>
      <c r="R9" s="1774"/>
      <c r="S9" s="1729"/>
      <c r="T9" s="1729"/>
      <c r="U9" s="1729"/>
      <c r="V9" s="1729"/>
      <c r="W9" s="1729"/>
      <c r="X9" s="1775"/>
      <c r="Z9" s="153" t="s">
        <v>446</v>
      </c>
      <c r="AA9" s="176">
        <f>SUMIF($G$16:$G$48,"CNTY or CTY",$L$16:$L$48)</f>
        <v>49</v>
      </c>
      <c r="AB9" s="176">
        <f>SUMIF($G$16:$G$48,"CNTY or CTY",$T$16:$T$48)</f>
        <v>0</v>
      </c>
    </row>
    <row r="10" spans="1:29" s="57" customFormat="1" ht="16.5" customHeight="1" thickBot="1" x14ac:dyDescent="0.25">
      <c r="A10" s="1436" t="s">
        <v>276</v>
      </c>
      <c r="B10" s="1437"/>
      <c r="C10" s="1437"/>
      <c r="D10" s="1651">
        <f>P6+P10</f>
        <v>0</v>
      </c>
      <c r="E10" s="1768"/>
      <c r="F10" s="1386" t="s">
        <v>20</v>
      </c>
      <c r="G10" s="1387"/>
      <c r="H10" s="790"/>
      <c r="I10" s="1393"/>
      <c r="J10" s="1393"/>
      <c r="K10" s="1393"/>
      <c r="L10" s="1393"/>
      <c r="M10" s="1393"/>
      <c r="N10" s="1387" t="s">
        <v>233</v>
      </c>
      <c r="O10" s="1387"/>
      <c r="P10" s="788">
        <f>P8+P9*10</f>
        <v>0</v>
      </c>
      <c r="Q10" s="240"/>
      <c r="R10" s="1769" t="s">
        <v>239</v>
      </c>
      <c r="S10" s="1770"/>
      <c r="T10" s="1770"/>
      <c r="U10" s="1770"/>
      <c r="V10" s="1770"/>
      <c r="W10" s="1770"/>
      <c r="X10" s="1771"/>
      <c r="Z10" s="666" t="s">
        <v>246</v>
      </c>
      <c r="AA10" s="148">
        <f>SUM(AA5:AA9)</f>
        <v>324</v>
      </c>
      <c r="AB10" s="148">
        <f>SUM(AB5:AB9)</f>
        <v>0</v>
      </c>
    </row>
    <row r="11" spans="1:29" s="57" customFormat="1" ht="16.5" customHeight="1" thickBot="1" x14ac:dyDescent="0.25">
      <c r="A11" s="1439" t="s">
        <v>277</v>
      </c>
      <c r="B11" s="1440"/>
      <c r="C11" s="1440"/>
      <c r="D11" s="1649">
        <f>ROUNDUP(D10/10,0)</f>
        <v>0</v>
      </c>
      <c r="E11" s="1753"/>
      <c r="F11" s="1398" t="s">
        <v>21</v>
      </c>
      <c r="G11" s="1399"/>
      <c r="H11" s="792"/>
      <c r="I11" s="1754"/>
      <c r="J11" s="1754"/>
      <c r="K11" s="1754"/>
      <c r="L11" s="1754"/>
      <c r="M11" s="1754"/>
      <c r="N11" s="1767" t="s">
        <v>565</v>
      </c>
      <c r="O11" s="1767"/>
      <c r="P11" s="793">
        <f>'Local Penalties'!B8</f>
        <v>5</v>
      </c>
      <c r="Q11" s="240"/>
      <c r="R11" s="1755" t="s">
        <v>430</v>
      </c>
      <c r="S11" s="1756"/>
      <c r="T11" s="1756"/>
      <c r="U11" s="1756"/>
      <c r="V11" s="1756"/>
      <c r="W11" s="1756"/>
      <c r="X11" s="1757"/>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758" t="s">
        <v>297</v>
      </c>
      <c r="J13" s="1759"/>
      <c r="K13" s="1759"/>
      <c r="L13" s="1760"/>
      <c r="M13" s="110"/>
      <c r="N13" s="1761" t="s">
        <v>229</v>
      </c>
      <c r="O13" s="1762"/>
      <c r="P13" s="1763"/>
      <c r="Q13" s="111"/>
      <c r="R13" s="1764" t="s">
        <v>295</v>
      </c>
      <c r="S13" s="1765"/>
      <c r="T13" s="1766"/>
      <c r="U13" s="226"/>
      <c r="V13" s="158"/>
      <c r="W13" s="158"/>
      <c r="X13" s="159"/>
      <c r="Y13" s="108"/>
      <c r="Z13" s="108"/>
      <c r="AA13" s="108"/>
      <c r="AB13" s="108"/>
      <c r="AC13" s="108"/>
    </row>
    <row r="14" spans="1:29" ht="44.25" customHeight="1" thickBot="1" x14ac:dyDescent="0.25">
      <c r="A14" s="672">
        <v>0.02</v>
      </c>
      <c r="B14" s="672" t="s">
        <v>58</v>
      </c>
      <c r="C14" s="1364" t="s">
        <v>226</v>
      </c>
      <c r="D14" s="1365"/>
      <c r="E14" s="1365"/>
      <c r="F14" s="1366"/>
      <c r="G14" s="674" t="s">
        <v>249</v>
      </c>
      <c r="H14" s="114" t="s">
        <v>0</v>
      </c>
      <c r="I14" s="670" t="s">
        <v>298</v>
      </c>
      <c r="J14" s="677" t="s">
        <v>252</v>
      </c>
      <c r="K14" s="1747" t="s">
        <v>6</v>
      </c>
      <c r="L14" s="676" t="s">
        <v>299</v>
      </c>
      <c r="M14" s="67"/>
      <c r="N14" s="1716" t="s">
        <v>260</v>
      </c>
      <c r="O14" s="1717"/>
      <c r="P14" s="677" t="s">
        <v>248</v>
      </c>
      <c r="Q14" s="121"/>
      <c r="R14" s="690" t="s">
        <v>428</v>
      </c>
      <c r="S14" s="1747" t="s">
        <v>6</v>
      </c>
      <c r="T14" s="676" t="s">
        <v>299</v>
      </c>
      <c r="U14" s="228"/>
      <c r="V14" s="669" t="s">
        <v>256</v>
      </c>
      <c r="W14" s="1749" t="s">
        <v>61</v>
      </c>
      <c r="X14" s="1751" t="s">
        <v>384</v>
      </c>
    </row>
    <row r="15" spans="1:29" ht="30.75" customHeight="1" thickBot="1" x14ac:dyDescent="0.25">
      <c r="A15" s="673"/>
      <c r="B15" s="673"/>
      <c r="C15" s="1367"/>
      <c r="D15" s="1368"/>
      <c r="E15" s="1368"/>
      <c r="F15" s="1369"/>
      <c r="G15" s="675"/>
      <c r="H15" s="675"/>
      <c r="I15" s="671"/>
      <c r="J15" s="161">
        <f>J35/I35</f>
        <v>417.5</v>
      </c>
      <c r="K15" s="1748"/>
      <c r="L15" s="244" t="s">
        <v>42</v>
      </c>
      <c r="M15" s="68"/>
      <c r="N15" s="1714"/>
      <c r="O15" s="1715"/>
      <c r="P15" s="245" t="s">
        <v>43</v>
      </c>
      <c r="Q15" s="121"/>
      <c r="R15" s="246" t="e">
        <f>(R35-R31)/(I35-I31)</f>
        <v>#DIV/0!</v>
      </c>
      <c r="S15" s="1748"/>
      <c r="T15" s="244" t="s">
        <v>44</v>
      </c>
      <c r="U15" s="228"/>
      <c r="V15" s="298" t="s">
        <v>300</v>
      </c>
      <c r="W15" s="1750"/>
      <c r="X15" s="1752"/>
    </row>
    <row r="16" spans="1:29" s="74" customFormat="1" ht="16.5" thickTop="1" x14ac:dyDescent="0.2">
      <c r="A16" s="69" t="s">
        <v>8</v>
      </c>
      <c r="B16" s="1660" t="s">
        <v>241</v>
      </c>
      <c r="C16" s="1745" t="s">
        <v>488</v>
      </c>
      <c r="D16" s="1692"/>
      <c r="E16" s="1692"/>
      <c r="F16" s="1692"/>
      <c r="G16" s="695" t="s">
        <v>32</v>
      </c>
      <c r="H16" s="71" t="s">
        <v>14</v>
      </c>
      <c r="I16" s="154">
        <v>50</v>
      </c>
      <c r="J16" s="160">
        <f>I16</f>
        <v>50</v>
      </c>
      <c r="K16" s="162">
        <f>IF(A16="Y", I16*2%,0)</f>
        <v>1</v>
      </c>
      <c r="L16" s="198">
        <f>I16-K16</f>
        <v>49</v>
      </c>
      <c r="M16" s="164"/>
      <c r="N16" s="1731"/>
      <c r="O16" s="1732"/>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660"/>
      <c r="C17" s="1746" t="s">
        <v>489</v>
      </c>
      <c r="D17" s="1659"/>
      <c r="E17" s="1659"/>
      <c r="F17" s="1659"/>
      <c r="G17" s="694" t="s">
        <v>32</v>
      </c>
      <c r="H17" s="77" t="s">
        <v>14</v>
      </c>
      <c r="I17" s="156">
        <v>50</v>
      </c>
      <c r="J17" s="155">
        <f>I17</f>
        <v>50</v>
      </c>
      <c r="K17" s="162">
        <f t="shared" ref="K17:K45" si="0">IF(A17="Y", I17*2%,0)</f>
        <v>1</v>
      </c>
      <c r="L17" s="167">
        <f t="shared" ref="L17:L46" si="1">I17-K17</f>
        <v>49</v>
      </c>
      <c r="M17" s="164"/>
      <c r="N17" s="1665"/>
      <c r="O17" s="1666"/>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660"/>
      <c r="C18" s="1746" t="s">
        <v>493</v>
      </c>
      <c r="D18" s="1659"/>
      <c r="E18" s="1659"/>
      <c r="F18" s="1659"/>
      <c r="G18" s="694" t="s">
        <v>31</v>
      </c>
      <c r="H18" s="77" t="s">
        <v>51</v>
      </c>
      <c r="I18" s="156">
        <v>20</v>
      </c>
      <c r="J18" s="155">
        <f>I18</f>
        <v>20</v>
      </c>
      <c r="K18" s="162">
        <f t="shared" si="0"/>
        <v>0.4</v>
      </c>
      <c r="L18" s="167">
        <f t="shared" si="1"/>
        <v>19.600000000000001</v>
      </c>
      <c r="M18" s="164"/>
      <c r="N18" s="1665"/>
      <c r="O18" s="1666"/>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660"/>
      <c r="C19" s="1659" t="s">
        <v>212</v>
      </c>
      <c r="D19" s="1659"/>
      <c r="E19" s="1659"/>
      <c r="F19" s="1659"/>
      <c r="G19" s="694" t="s">
        <v>32</v>
      </c>
      <c r="H19" s="77" t="s">
        <v>27</v>
      </c>
      <c r="I19" s="155">
        <f>(D10-SUM(I16:I18))*D8</f>
        <v>-120</v>
      </c>
      <c r="J19" s="155">
        <f>((SUM(I16:I20)*J15)-SUM(J16:J18))*D8</f>
        <v>-120</v>
      </c>
      <c r="K19" s="162">
        <f t="shared" si="0"/>
        <v>-2.4</v>
      </c>
      <c r="L19" s="167">
        <f t="shared" si="1"/>
        <v>-117.6</v>
      </c>
      <c r="M19" s="164"/>
      <c r="N19" s="1665"/>
      <c r="O19" s="1666"/>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661"/>
      <c r="C20" s="1659" t="s">
        <v>213</v>
      </c>
      <c r="D20" s="1659"/>
      <c r="E20" s="1659"/>
      <c r="F20" s="1659"/>
      <c r="G20" s="694" t="s">
        <v>52</v>
      </c>
      <c r="H20" s="77" t="s">
        <v>25</v>
      </c>
      <c r="I20" s="155">
        <f>(D10-SUM(I16:I18))*D9</f>
        <v>0</v>
      </c>
      <c r="J20" s="155">
        <f>((SUM(I16:I20)*J15)-SUM(J16:J18))*D9</f>
        <v>0</v>
      </c>
      <c r="K20" s="162">
        <f t="shared" si="0"/>
        <v>0</v>
      </c>
      <c r="L20" s="167">
        <f t="shared" si="1"/>
        <v>0</v>
      </c>
      <c r="M20" s="164"/>
      <c r="N20" s="1665"/>
      <c r="O20" s="1666"/>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659" t="s">
        <v>546</v>
      </c>
      <c r="D21" s="1659"/>
      <c r="E21" s="1659"/>
      <c r="F21" s="1659"/>
      <c r="G21" s="694" t="s">
        <v>31</v>
      </c>
      <c r="H21" s="77" t="s">
        <v>26</v>
      </c>
      <c r="I21" s="155">
        <f>$D$11*B21</f>
        <v>0</v>
      </c>
      <c r="J21" s="155">
        <f>$J$15*I21</f>
        <v>0</v>
      </c>
      <c r="K21" s="162">
        <f t="shared" si="0"/>
        <v>0</v>
      </c>
      <c r="L21" s="167">
        <f t="shared" si="1"/>
        <v>0</v>
      </c>
      <c r="M21" s="164"/>
      <c r="N21" s="1665"/>
      <c r="O21" s="1666"/>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659" t="s">
        <v>547</v>
      </c>
      <c r="D22" s="1659"/>
      <c r="E22" s="1659"/>
      <c r="F22" s="1659"/>
      <c r="G22" s="694" t="s">
        <v>32</v>
      </c>
      <c r="H22" s="77" t="s">
        <v>27</v>
      </c>
      <c r="I22" s="155">
        <f t="shared" ref="I22:I33" si="6">$D$11*B22</f>
        <v>0</v>
      </c>
      <c r="J22" s="155">
        <f t="shared" ref="J22:J34" si="7">$J$15*I22</f>
        <v>0</v>
      </c>
      <c r="K22" s="162">
        <f t="shared" si="0"/>
        <v>0</v>
      </c>
      <c r="L22" s="167">
        <f t="shared" si="1"/>
        <v>0</v>
      </c>
      <c r="M22" s="164"/>
      <c r="N22" s="1665"/>
      <c r="O22" s="1666"/>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665" t="s">
        <v>216</v>
      </c>
      <c r="D23" s="1700"/>
      <c r="E23" s="1700"/>
      <c r="F23" s="1701"/>
      <c r="G23" s="694" t="s">
        <v>32</v>
      </c>
      <c r="H23" s="77" t="s">
        <v>55</v>
      </c>
      <c r="I23" s="155">
        <f t="shared" si="6"/>
        <v>0</v>
      </c>
      <c r="J23" s="155">
        <f t="shared" si="7"/>
        <v>0</v>
      </c>
      <c r="K23" s="162">
        <f t="shared" si="0"/>
        <v>0</v>
      </c>
      <c r="L23" s="167">
        <f t="shared" si="1"/>
        <v>0</v>
      </c>
      <c r="M23" s="164"/>
      <c r="N23" s="1665"/>
      <c r="O23" s="1666"/>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665" t="s">
        <v>466</v>
      </c>
      <c r="D24" s="1700"/>
      <c r="E24" s="1700"/>
      <c r="F24" s="1701"/>
      <c r="G24" s="694" t="s">
        <v>31</v>
      </c>
      <c r="H24" s="77" t="s">
        <v>72</v>
      </c>
      <c r="I24" s="155">
        <f t="shared" si="6"/>
        <v>0</v>
      </c>
      <c r="J24" s="155">
        <f t="shared" si="7"/>
        <v>0</v>
      </c>
      <c r="K24" s="162">
        <f t="shared" si="0"/>
        <v>0</v>
      </c>
      <c r="L24" s="167">
        <f t="shared" si="1"/>
        <v>0</v>
      </c>
      <c r="M24" s="164"/>
      <c r="N24" s="1665"/>
      <c r="O24" s="1666"/>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659" t="s">
        <v>217</v>
      </c>
      <c r="D25" s="1659"/>
      <c r="E25" s="1739"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740"/>
      <c r="G25" s="694" t="s">
        <v>32</v>
      </c>
      <c r="H25" s="77" t="s">
        <v>64</v>
      </c>
      <c r="I25" s="155">
        <f t="shared" si="6"/>
        <v>0</v>
      </c>
      <c r="J25" s="155">
        <f t="shared" si="7"/>
        <v>0</v>
      </c>
      <c r="K25" s="162">
        <f t="shared" si="0"/>
        <v>0</v>
      </c>
      <c r="L25" s="167">
        <f t="shared" si="1"/>
        <v>0</v>
      </c>
      <c r="M25" s="164"/>
      <c r="N25" s="1665"/>
      <c r="O25" s="1666"/>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659" t="s">
        <v>218</v>
      </c>
      <c r="D26" s="1659"/>
      <c r="E26" s="1741"/>
      <c r="F26" s="1742"/>
      <c r="G26" s="694" t="s">
        <v>32</v>
      </c>
      <c r="H26" s="77" t="s">
        <v>35</v>
      </c>
      <c r="I26" s="155">
        <f t="shared" si="6"/>
        <v>0</v>
      </c>
      <c r="J26" s="155">
        <f t="shared" si="7"/>
        <v>0</v>
      </c>
      <c r="K26" s="162">
        <f t="shared" si="0"/>
        <v>0</v>
      </c>
      <c r="L26" s="167">
        <f t="shared" si="1"/>
        <v>0</v>
      </c>
      <c r="M26" s="164"/>
      <c r="N26" s="1665"/>
      <c r="O26" s="1666"/>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659" t="s">
        <v>219</v>
      </c>
      <c r="D27" s="1659"/>
      <c r="E27" s="1741"/>
      <c r="F27" s="1742"/>
      <c r="G27" s="694" t="s">
        <v>32</v>
      </c>
      <c r="H27" s="77" t="s">
        <v>65</v>
      </c>
      <c r="I27" s="155">
        <f t="shared" si="6"/>
        <v>0</v>
      </c>
      <c r="J27" s="155">
        <f t="shared" si="7"/>
        <v>0</v>
      </c>
      <c r="K27" s="162">
        <f t="shared" si="0"/>
        <v>0</v>
      </c>
      <c r="L27" s="167">
        <f t="shared" si="1"/>
        <v>0</v>
      </c>
      <c r="M27" s="164"/>
      <c r="N27" s="1665"/>
      <c r="O27" s="1666"/>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659" t="s">
        <v>401</v>
      </c>
      <c r="D28" s="1659"/>
      <c r="E28" s="1741"/>
      <c r="F28" s="1742"/>
      <c r="G28" s="694" t="s">
        <v>32</v>
      </c>
      <c r="H28" s="77" t="s">
        <v>65</v>
      </c>
      <c r="I28" s="155">
        <f>$D$11*B28</f>
        <v>0</v>
      </c>
      <c r="J28" s="155">
        <f>$J$15*I28</f>
        <v>0</v>
      </c>
      <c r="K28" s="162">
        <f>IF(A28="Y", I28*2%,0)</f>
        <v>0</v>
      </c>
      <c r="L28" s="167">
        <f>I28-K28</f>
        <v>0</v>
      </c>
      <c r="M28" s="164"/>
      <c r="N28" s="1665"/>
      <c r="O28" s="1666"/>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659" t="s">
        <v>254</v>
      </c>
      <c r="D29" s="1659"/>
      <c r="E29" s="1743"/>
      <c r="F29" s="1744"/>
      <c r="G29" s="694" t="s">
        <v>32</v>
      </c>
      <c r="H29" s="77"/>
      <c r="I29" s="155">
        <f t="shared" si="6"/>
        <v>0</v>
      </c>
      <c r="J29" s="155">
        <f t="shared" si="7"/>
        <v>0</v>
      </c>
      <c r="K29" s="162">
        <f t="shared" si="0"/>
        <v>0</v>
      </c>
      <c r="L29" s="167">
        <f t="shared" si="1"/>
        <v>0</v>
      </c>
      <c r="M29" s="164"/>
      <c r="N29" s="1665"/>
      <c r="O29" s="1666"/>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449" t="s">
        <v>286</v>
      </c>
      <c r="D30" s="1459"/>
      <c r="E30" s="1459"/>
      <c r="F30" s="1460"/>
      <c r="G30" s="702" t="s">
        <v>32</v>
      </c>
      <c r="H30" s="84" t="s">
        <v>36</v>
      </c>
      <c r="I30" s="155">
        <f t="shared" si="6"/>
        <v>0</v>
      </c>
      <c r="J30" s="155">
        <f t="shared" si="7"/>
        <v>0</v>
      </c>
      <c r="K30" s="162">
        <f t="shared" si="0"/>
        <v>0</v>
      </c>
      <c r="L30" s="167">
        <f t="shared" si="1"/>
        <v>0</v>
      </c>
      <c r="M30" s="164"/>
      <c r="N30" s="1665"/>
      <c r="O30" s="1666"/>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449" t="s">
        <v>385</v>
      </c>
      <c r="D31" s="1459"/>
      <c r="E31" s="1459"/>
      <c r="F31" s="1460"/>
      <c r="G31" s="702" t="s">
        <v>31</v>
      </c>
      <c r="H31" s="88"/>
      <c r="I31" s="204">
        <v>4</v>
      </c>
      <c r="J31" s="155">
        <f>$J$15*I31</f>
        <v>1670</v>
      </c>
      <c r="K31" s="162">
        <f>IF(A31="Y", I31*2%,0)</f>
        <v>0.08</v>
      </c>
      <c r="L31" s="167">
        <f>I31-K31</f>
        <v>3.92</v>
      </c>
      <c r="M31" s="165"/>
      <c r="N31" s="1665"/>
      <c r="O31" s="1666"/>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449" t="s">
        <v>555</v>
      </c>
      <c r="D32" s="1459"/>
      <c r="E32" s="1460"/>
      <c r="F32" s="1737" t="s">
        <v>281</v>
      </c>
      <c r="G32" s="702" t="s">
        <v>31</v>
      </c>
      <c r="H32" s="84" t="s">
        <v>37</v>
      </c>
      <c r="I32" s="155">
        <f t="shared" si="6"/>
        <v>0</v>
      </c>
      <c r="J32" s="155">
        <f t="shared" si="7"/>
        <v>0</v>
      </c>
      <c r="K32" s="162">
        <f t="shared" si="0"/>
        <v>0</v>
      </c>
      <c r="L32" s="167">
        <f t="shared" si="1"/>
        <v>0</v>
      </c>
      <c r="M32" s="164"/>
      <c r="N32" s="1665"/>
      <c r="O32" s="1666"/>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449" t="s">
        <v>556</v>
      </c>
      <c r="D33" s="1459"/>
      <c r="E33" s="1460"/>
      <c r="F33" s="1738"/>
      <c r="G33" s="707" t="s">
        <v>31</v>
      </c>
      <c r="H33" s="84" t="s">
        <v>197</v>
      </c>
      <c r="I33" s="155">
        <f t="shared" si="6"/>
        <v>0</v>
      </c>
      <c r="J33" s="155">
        <f t="shared" si="7"/>
        <v>0</v>
      </c>
      <c r="K33" s="162">
        <f t="shared" si="0"/>
        <v>0</v>
      </c>
      <c r="L33" s="167">
        <f t="shared" si="1"/>
        <v>0</v>
      </c>
      <c r="M33" s="164"/>
      <c r="N33" s="1665"/>
      <c r="O33" s="1666"/>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449" t="s">
        <v>220</v>
      </c>
      <c r="D34" s="1459"/>
      <c r="E34" s="1459"/>
      <c r="F34" s="1460"/>
      <c r="G34" s="702" t="s">
        <v>31</v>
      </c>
      <c r="H34" s="84" t="s">
        <v>10</v>
      </c>
      <c r="I34" s="155">
        <f>$D$10*20%</f>
        <v>0</v>
      </c>
      <c r="J34" s="155">
        <f t="shared" si="7"/>
        <v>0</v>
      </c>
      <c r="K34" s="162">
        <f t="shared" si="0"/>
        <v>0</v>
      </c>
      <c r="L34" s="167">
        <f t="shared" si="1"/>
        <v>0</v>
      </c>
      <c r="M34" s="164"/>
      <c r="N34" s="1665"/>
      <c r="O34" s="1666"/>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456" t="s">
        <v>221</v>
      </c>
      <c r="D35" s="1694"/>
      <c r="E35" s="1694"/>
      <c r="F35" s="1695"/>
      <c r="G35" s="703"/>
      <c r="H35" s="88"/>
      <c r="I35" s="157">
        <f>SUM(I16:I34)</f>
        <v>4</v>
      </c>
      <c r="J35" s="157">
        <f>J50-SUM(J36:J46)</f>
        <v>1670</v>
      </c>
      <c r="K35" s="162"/>
      <c r="L35" s="168">
        <f>SUM(L16:L34)</f>
        <v>3.92</v>
      </c>
      <c r="M35" s="165"/>
      <c r="N35" s="1449"/>
      <c r="O35" s="1699"/>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449" t="s">
        <v>419</v>
      </c>
      <c r="D36" s="1459"/>
      <c r="E36" s="1459"/>
      <c r="F36" s="1460"/>
      <c r="G36" s="702" t="s">
        <v>31</v>
      </c>
      <c r="H36" s="91" t="s">
        <v>39</v>
      </c>
      <c r="I36" s="204">
        <v>40</v>
      </c>
      <c r="J36" s="155">
        <f>I36</f>
        <v>40</v>
      </c>
      <c r="K36" s="162">
        <f t="shared" si="0"/>
        <v>0</v>
      </c>
      <c r="L36" s="167">
        <f t="shared" si="1"/>
        <v>40</v>
      </c>
      <c r="M36" s="164"/>
      <c r="N36" s="1665"/>
      <c r="O36" s="1666"/>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446" t="s">
        <v>259</v>
      </c>
      <c r="D37" s="1447"/>
      <c r="E37" s="1447"/>
      <c r="F37" s="1448"/>
      <c r="G37" s="704" t="s">
        <v>31</v>
      </c>
      <c r="H37" s="92" t="s">
        <v>197</v>
      </c>
      <c r="I37" s="204">
        <v>30</v>
      </c>
      <c r="J37" s="155">
        <f t="shared" ref="J37:J46" si="12">I37</f>
        <v>30</v>
      </c>
      <c r="K37" s="162">
        <f t="shared" si="0"/>
        <v>0</v>
      </c>
      <c r="L37" s="167">
        <f t="shared" si="1"/>
        <v>30</v>
      </c>
      <c r="M37" s="164"/>
      <c r="N37" s="1665"/>
      <c r="O37" s="1666"/>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446" t="s">
        <v>421</v>
      </c>
      <c r="D38" s="1447"/>
      <c r="E38" s="1447"/>
      <c r="F38" s="1448"/>
      <c r="G38" s="704" t="s">
        <v>230</v>
      </c>
      <c r="H38" s="92" t="s">
        <v>24</v>
      </c>
      <c r="I38" s="204"/>
      <c r="J38" s="155">
        <f t="shared" si="12"/>
        <v>0</v>
      </c>
      <c r="K38" s="162">
        <f t="shared" si="0"/>
        <v>0</v>
      </c>
      <c r="L38" s="167">
        <f t="shared" si="1"/>
        <v>0</v>
      </c>
      <c r="M38" s="164"/>
      <c r="N38" s="1665"/>
      <c r="O38" s="1666"/>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446" t="s">
        <v>284</v>
      </c>
      <c r="D39" s="1447"/>
      <c r="E39" s="1447"/>
      <c r="F39" s="1448"/>
      <c r="G39" s="704" t="s">
        <v>32</v>
      </c>
      <c r="H39" s="92" t="s">
        <v>27</v>
      </c>
      <c r="I39" s="204"/>
      <c r="J39" s="155">
        <f t="shared" si="12"/>
        <v>0</v>
      </c>
      <c r="K39" s="162">
        <f t="shared" si="0"/>
        <v>0</v>
      </c>
      <c r="L39" s="167">
        <f t="shared" si="1"/>
        <v>0</v>
      </c>
      <c r="M39" s="164"/>
      <c r="N39" s="1665"/>
      <c r="O39" s="1666"/>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446" t="s">
        <v>495</v>
      </c>
      <c r="D40" s="1447"/>
      <c r="E40" s="1447"/>
      <c r="F40" s="1448"/>
      <c r="G40" s="704" t="s">
        <v>446</v>
      </c>
      <c r="H40" s="92"/>
      <c r="I40" s="204">
        <v>50</v>
      </c>
      <c r="J40" s="155"/>
      <c r="K40" s="162">
        <f t="shared" si="0"/>
        <v>1</v>
      </c>
      <c r="L40" s="167">
        <f t="shared" si="1"/>
        <v>49</v>
      </c>
      <c r="M40" s="164"/>
      <c r="N40" s="1665"/>
      <c r="O40" s="1666"/>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446" t="s">
        <v>494</v>
      </c>
      <c r="D41" s="1447"/>
      <c r="E41" s="1447"/>
      <c r="F41" s="1448"/>
      <c r="G41" s="704" t="s">
        <v>32</v>
      </c>
      <c r="H41" s="92" t="s">
        <v>15</v>
      </c>
      <c r="I41" s="204">
        <v>50</v>
      </c>
      <c r="J41" s="155">
        <f>I41</f>
        <v>50</v>
      </c>
      <c r="K41" s="162">
        <f>IF(A41="Y", I41*2%,0)</f>
        <v>1</v>
      </c>
      <c r="L41" s="167">
        <f>I41-K41</f>
        <v>49</v>
      </c>
      <c r="M41" s="164"/>
      <c r="N41" s="1665"/>
      <c r="O41" s="1666"/>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446" t="s">
        <v>445</v>
      </c>
      <c r="D42" s="1447"/>
      <c r="E42" s="1447"/>
      <c r="F42" s="1448"/>
      <c r="G42" s="704" t="s">
        <v>32</v>
      </c>
      <c r="H42" s="92"/>
      <c r="I42" s="204"/>
      <c r="J42" s="155"/>
      <c r="K42" s="162">
        <f t="shared" si="0"/>
        <v>0</v>
      </c>
      <c r="L42" s="167">
        <f t="shared" si="1"/>
        <v>0</v>
      </c>
      <c r="M42" s="164"/>
      <c r="N42" s="667"/>
      <c r="O42" s="668"/>
      <c r="P42" s="78"/>
      <c r="Q42" s="72"/>
      <c r="R42" s="155">
        <f t="shared" ref="R42:R43" si="13">IF($R$50=0,,I42)</f>
        <v>0</v>
      </c>
      <c r="S42" s="162">
        <f t="shared" ref="S42:S43" si="14">IF(A42="Y", R42*2%,)</f>
        <v>0</v>
      </c>
      <c r="T42" s="167">
        <f t="shared" ref="T42:T43" si="15">R42-S42</f>
        <v>0</v>
      </c>
      <c r="U42" s="229"/>
      <c r="V42" s="181">
        <f>IF($V$15="BASE-UP   (B-A)", P42-L42,P42-T42)</f>
        <v>0</v>
      </c>
      <c r="W42" s="654"/>
      <c r="X42" s="631"/>
      <c r="Y42" s="125"/>
      <c r="Z42" s="125"/>
      <c r="AA42" s="125"/>
      <c r="AB42" s="125"/>
      <c r="AC42" s="125"/>
    </row>
    <row r="43" spans="1:29" s="74" customFormat="1" ht="15.75" x14ac:dyDescent="0.2">
      <c r="A43" s="69" t="s">
        <v>8</v>
      </c>
      <c r="B43" s="94"/>
      <c r="C43" s="1446" t="s">
        <v>559</v>
      </c>
      <c r="D43" s="1447"/>
      <c r="E43" s="1447"/>
      <c r="F43" s="1448"/>
      <c r="G43" s="704" t="s">
        <v>31</v>
      </c>
      <c r="H43" s="92" t="s">
        <v>13</v>
      </c>
      <c r="I43" s="204">
        <v>150</v>
      </c>
      <c r="J43" s="155">
        <f t="shared" si="12"/>
        <v>150</v>
      </c>
      <c r="K43" s="162">
        <f t="shared" si="0"/>
        <v>3</v>
      </c>
      <c r="L43" s="167">
        <f t="shared" si="1"/>
        <v>147</v>
      </c>
      <c r="M43" s="164"/>
      <c r="N43" s="1665"/>
      <c r="O43" s="1666"/>
      <c r="P43" s="78"/>
      <c r="Q43" s="72"/>
      <c r="R43" s="155">
        <f t="shared" si="13"/>
        <v>0</v>
      </c>
      <c r="S43" s="162">
        <f t="shared" si="14"/>
        <v>0</v>
      </c>
      <c r="T43" s="167">
        <f t="shared" si="15"/>
        <v>0</v>
      </c>
      <c r="U43" s="229"/>
      <c r="V43" s="181">
        <f t="shared" si="3"/>
        <v>-147</v>
      </c>
      <c r="W43" s="765"/>
      <c r="X43" s="596"/>
      <c r="Y43" s="125"/>
      <c r="Z43" s="125"/>
      <c r="AA43" s="125"/>
      <c r="AB43" s="125"/>
      <c r="AC43" s="125"/>
    </row>
    <row r="44" spans="1:29" s="74" customFormat="1" ht="15.75" x14ac:dyDescent="0.2">
      <c r="A44" s="69" t="s">
        <v>7</v>
      </c>
      <c r="B44" s="94"/>
      <c r="C44" s="1446" t="s">
        <v>454</v>
      </c>
      <c r="D44" s="1447"/>
      <c r="E44" s="1447"/>
      <c r="F44" s="1448"/>
      <c r="G44" s="704" t="s">
        <v>32</v>
      </c>
      <c r="H44" s="92" t="s">
        <v>27</v>
      </c>
      <c r="I44" s="204"/>
      <c r="J44" s="155">
        <f t="shared" si="12"/>
        <v>0</v>
      </c>
      <c r="K44" s="162">
        <f t="shared" si="0"/>
        <v>0</v>
      </c>
      <c r="L44" s="167">
        <f t="shared" si="1"/>
        <v>0</v>
      </c>
      <c r="M44" s="164"/>
      <c r="N44" s="1665"/>
      <c r="O44" s="1666"/>
      <c r="P44" s="78"/>
      <c r="Q44" s="72"/>
      <c r="R44" s="155">
        <f>IF($R$50=0,,I44)</f>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449" t="s">
        <v>517</v>
      </c>
      <c r="D45" s="1459"/>
      <c r="E45" s="1459"/>
      <c r="F45" s="1460"/>
      <c r="G45" s="704" t="s">
        <v>230</v>
      </c>
      <c r="H45" s="92" t="s">
        <v>82</v>
      </c>
      <c r="I45" s="204"/>
      <c r="J45" s="155">
        <f t="shared" si="12"/>
        <v>0</v>
      </c>
      <c r="K45" s="162">
        <f t="shared" si="0"/>
        <v>0</v>
      </c>
      <c r="L45" s="167">
        <f t="shared" si="1"/>
        <v>0</v>
      </c>
      <c r="M45" s="164"/>
      <c r="N45" s="1665"/>
      <c r="O45" s="1666"/>
      <c r="P45" s="78"/>
      <c r="Q45" s="72"/>
      <c r="R45" s="155">
        <f>IF($R$50=0,,I45)</f>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446" t="s">
        <v>376</v>
      </c>
      <c r="D46" s="1447"/>
      <c r="E46" s="1447"/>
      <c r="F46" s="1448"/>
      <c r="G46" s="704" t="s">
        <v>32</v>
      </c>
      <c r="H46" s="92" t="s">
        <v>80</v>
      </c>
      <c r="I46" s="205"/>
      <c r="J46" s="155">
        <f t="shared" si="12"/>
        <v>0</v>
      </c>
      <c r="K46" s="162">
        <f>IF(A47="Y", I46*2%,0)</f>
        <v>0</v>
      </c>
      <c r="L46" s="167">
        <f t="shared" si="1"/>
        <v>0</v>
      </c>
      <c r="M46" s="164"/>
      <c r="N46" s="1665"/>
      <c r="O46" s="1666"/>
      <c r="P46" s="78"/>
      <c r="Q46" s="72"/>
      <c r="R46" s="155">
        <f>IF($R$50=0,,I46)</f>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446" t="s">
        <v>225</v>
      </c>
      <c r="D47" s="1447"/>
      <c r="E47" s="1447"/>
      <c r="F47" s="1448"/>
      <c r="G47" s="704" t="s">
        <v>31</v>
      </c>
      <c r="H47" s="92"/>
      <c r="I47" s="205"/>
      <c r="J47" s="155"/>
      <c r="K47" s="162">
        <f>IF(A48="Y", I47*2%,0)</f>
        <v>0</v>
      </c>
      <c r="L47" s="167">
        <f t="shared" ref="L47" si="16">I47-K47</f>
        <v>0</v>
      </c>
      <c r="M47" s="164"/>
      <c r="N47" s="1665"/>
      <c r="O47" s="1666"/>
      <c r="P47" s="78"/>
      <c r="Q47" s="72"/>
      <c r="R47" s="155">
        <f>IF($R$50=0,,I47)</f>
        <v>0</v>
      </c>
      <c r="S47" s="162">
        <f>IF(A48="Y", R47*2%,)</f>
        <v>0</v>
      </c>
      <c r="T47" s="167">
        <f t="shared" ref="T47" si="17">R47-S47</f>
        <v>0</v>
      </c>
      <c r="U47" s="229"/>
      <c r="V47" s="181">
        <f t="shared" si="3"/>
        <v>0</v>
      </c>
      <c r="W47" s="653"/>
      <c r="X47" s="516"/>
      <c r="Y47" s="125"/>
      <c r="Z47" s="125"/>
      <c r="AA47" s="125"/>
      <c r="AB47" s="125"/>
      <c r="AC47" s="125"/>
    </row>
    <row r="48" spans="1:29" s="74" customFormat="1" ht="31.5" customHeight="1" x14ac:dyDescent="0.2">
      <c r="A48" s="93" t="s">
        <v>7</v>
      </c>
      <c r="B48" s="94"/>
      <c r="C48" s="1665" t="s">
        <v>487</v>
      </c>
      <c r="D48" s="1697"/>
      <c r="E48" s="1697"/>
      <c r="F48" s="1698"/>
      <c r="G48" s="705" t="s">
        <v>31</v>
      </c>
      <c r="H48" s="96" t="s">
        <v>41</v>
      </c>
      <c r="I48" s="97"/>
      <c r="J48" s="104"/>
      <c r="K48" s="163"/>
      <c r="L48" s="169">
        <f>K49</f>
        <v>5.08</v>
      </c>
      <c r="M48" s="164"/>
      <c r="N48" s="1665"/>
      <c r="O48" s="1666"/>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1736" t="s">
        <v>61</v>
      </c>
      <c r="B51" s="1736"/>
      <c r="C51" s="1736"/>
      <c r="D51" s="210"/>
      <c r="E51" s="133"/>
      <c r="F51" s="133"/>
      <c r="J51" s="134"/>
      <c r="L51" s="135"/>
      <c r="M51" s="136"/>
      <c r="Q51" s="137"/>
      <c r="R51" s="137"/>
      <c r="S51" s="137"/>
      <c r="T51" s="137"/>
      <c r="U51" s="137"/>
      <c r="V51" s="138"/>
      <c r="W51" s="138"/>
      <c r="X51" s="139"/>
    </row>
    <row r="52" spans="1:24" s="141" customFormat="1" ht="18" customHeight="1" x14ac:dyDescent="0.2">
      <c r="A52" s="769">
        <v>1</v>
      </c>
      <c r="B52" s="1733"/>
      <c r="C52" s="1734"/>
      <c r="D52" s="1734"/>
      <c r="E52" s="1734"/>
      <c r="F52" s="1734"/>
      <c r="G52" s="1734"/>
      <c r="H52" s="1734"/>
      <c r="I52" s="1734"/>
      <c r="J52" s="1734"/>
      <c r="K52" s="1734"/>
      <c r="L52" s="1734"/>
      <c r="M52" s="1734"/>
      <c r="N52" s="1734"/>
      <c r="O52" s="1734"/>
      <c r="P52" s="1734"/>
      <c r="Q52" s="1734"/>
      <c r="R52" s="1734"/>
      <c r="S52" s="1734"/>
      <c r="T52" s="1734"/>
      <c r="U52" s="1734"/>
      <c r="V52" s="1734"/>
      <c r="W52" s="1734"/>
      <c r="X52" s="1735"/>
    </row>
    <row r="53" spans="1:24" s="141" customFormat="1" ht="18" customHeight="1" x14ac:dyDescent="0.2">
      <c r="A53" s="769">
        <v>2</v>
      </c>
      <c r="B53" s="1733"/>
      <c r="C53" s="1734"/>
      <c r="D53" s="1734"/>
      <c r="E53" s="1734"/>
      <c r="F53" s="1734"/>
      <c r="G53" s="1734"/>
      <c r="H53" s="1734"/>
      <c r="I53" s="1734"/>
      <c r="J53" s="1734"/>
      <c r="K53" s="1734"/>
      <c r="L53" s="1734"/>
      <c r="M53" s="1734"/>
      <c r="N53" s="1734"/>
      <c r="O53" s="1734"/>
      <c r="P53" s="1734"/>
      <c r="Q53" s="1734"/>
      <c r="R53" s="1734"/>
      <c r="S53" s="1734"/>
      <c r="T53" s="1734"/>
      <c r="U53" s="1734"/>
      <c r="V53" s="1734"/>
      <c r="W53" s="1734"/>
      <c r="X53" s="1735"/>
    </row>
    <row r="54" spans="1:24" s="141" customFormat="1" ht="18" customHeight="1" x14ac:dyDescent="0.2">
      <c r="A54" s="769">
        <v>3</v>
      </c>
      <c r="B54" s="1733"/>
      <c r="C54" s="1734"/>
      <c r="D54" s="1734"/>
      <c r="E54" s="1734"/>
      <c r="F54" s="1734"/>
      <c r="G54" s="1734"/>
      <c r="H54" s="1734"/>
      <c r="I54" s="1734"/>
      <c r="J54" s="1734"/>
      <c r="K54" s="1734"/>
      <c r="L54" s="1734"/>
      <c r="M54" s="1734"/>
      <c r="N54" s="1734"/>
      <c r="O54" s="1734"/>
      <c r="P54" s="1734"/>
      <c r="Q54" s="1734"/>
      <c r="R54" s="1734"/>
      <c r="S54" s="1734"/>
      <c r="T54" s="1734"/>
      <c r="U54" s="1734"/>
      <c r="V54" s="1734"/>
      <c r="W54" s="1734"/>
      <c r="X54" s="1735"/>
    </row>
    <row r="55" spans="1:24" s="54" customFormat="1" ht="18" customHeight="1" x14ac:dyDescent="0.2">
      <c r="A55" s="769">
        <v>4</v>
      </c>
      <c r="B55" s="1733"/>
      <c r="C55" s="1734"/>
      <c r="D55" s="1734"/>
      <c r="E55" s="1734"/>
      <c r="F55" s="1734"/>
      <c r="G55" s="1734"/>
      <c r="H55" s="1734"/>
      <c r="I55" s="1734"/>
      <c r="J55" s="1734"/>
      <c r="K55" s="1734"/>
      <c r="L55" s="1734"/>
      <c r="M55" s="1734"/>
      <c r="N55" s="1734"/>
      <c r="O55" s="1734"/>
      <c r="P55" s="1734"/>
      <c r="Q55" s="1734"/>
      <c r="R55" s="1734"/>
      <c r="S55" s="1734"/>
      <c r="T55" s="1734"/>
      <c r="U55" s="1734"/>
      <c r="V55" s="1734"/>
      <c r="W55" s="1734"/>
      <c r="X55" s="1735"/>
    </row>
  </sheetData>
  <sheetProtection insertRows="0"/>
  <mergeCells count="133">
    <mergeCell ref="A1:L1"/>
    <mergeCell ref="R3:X3"/>
    <mergeCell ref="A4:C4"/>
    <mergeCell ref="D4:E4"/>
    <mergeCell ref="F4:G4"/>
    <mergeCell ref="I4:M4"/>
    <mergeCell ref="N4:O4"/>
    <mergeCell ref="R4:X4"/>
    <mergeCell ref="M1:V1"/>
    <mergeCell ref="A3:P3"/>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34:F34"/>
    <mergeCell ref="N34:O34"/>
    <mergeCell ref="C35:F35"/>
    <mergeCell ref="N35:O35"/>
    <mergeCell ref="C36:F36"/>
    <mergeCell ref="N36:O36"/>
    <mergeCell ref="C31:F31"/>
    <mergeCell ref="C32:E32"/>
    <mergeCell ref="F32:F33"/>
    <mergeCell ref="N32:O32"/>
    <mergeCell ref="C33:E33"/>
    <mergeCell ref="N33:O33"/>
    <mergeCell ref="N31:O31"/>
    <mergeCell ref="C39:F39"/>
    <mergeCell ref="N39:O39"/>
    <mergeCell ref="C40:F40"/>
    <mergeCell ref="N40:O40"/>
    <mergeCell ref="C42:F42"/>
    <mergeCell ref="C43:F43"/>
    <mergeCell ref="N43:O43"/>
    <mergeCell ref="C37:F37"/>
    <mergeCell ref="N37:O37"/>
    <mergeCell ref="C38:F38"/>
    <mergeCell ref="N38:O38"/>
    <mergeCell ref="C41:F41"/>
    <mergeCell ref="N41:O41"/>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s>
  <conditionalFormatting sqref="R16:T48">
    <cfRule type="cellIs" dxfId="145" priority="14" stopIfTrue="1" operator="equal">
      <formula>0</formula>
    </cfRule>
  </conditionalFormatting>
  <conditionalFormatting sqref="H16:H24 H30 H32:H34">
    <cfRule type="expression" dxfId="144" priority="13" stopIfTrue="1">
      <formula>MOD(ROW(),2)=0</formula>
    </cfRule>
  </conditionalFormatting>
  <conditionalFormatting sqref="V51:W51 V56:W65535 V12:W13">
    <cfRule type="cellIs" dxfId="143" priority="12" stopIfTrue="1" operator="notEqual">
      <formula>0</formula>
    </cfRule>
  </conditionalFormatting>
  <conditionalFormatting sqref="H25:H30">
    <cfRule type="expression" dxfId="142" priority="11" stopIfTrue="1">
      <formula>MOD(ROW(), 2)=0</formula>
    </cfRule>
  </conditionalFormatting>
  <conditionalFormatting sqref="I16:I18">
    <cfRule type="cellIs" dxfId="141" priority="10" stopIfTrue="1" operator="equal">
      <formula>0</formula>
    </cfRule>
  </conditionalFormatting>
  <conditionalFormatting sqref="E25">
    <cfRule type="cellIs" dxfId="140" priority="9" operator="notEqual">
      <formula>"GC 76000 PA ($" &amp;P11&amp;" for every 10) breakdown = local Board of Supervisor resolution (BOS)."</formula>
    </cfRule>
  </conditionalFormatting>
  <conditionalFormatting sqref="N16:P48">
    <cfRule type="expression" dxfId="139" priority="8">
      <formula>MOD(ROW(),2)=0</formula>
    </cfRule>
  </conditionalFormatting>
  <conditionalFormatting sqref="I32:I35 I19:I30 K16:L48">
    <cfRule type="cellIs" dxfId="138" priority="7" operator="equal">
      <formula>0</formula>
    </cfRule>
  </conditionalFormatting>
  <conditionalFormatting sqref="W16:W48">
    <cfRule type="cellIs" dxfId="137" priority="6" operator="greaterThan">
      <formula>0</formula>
    </cfRule>
  </conditionalFormatting>
  <dataValidations count="1">
    <dataValidation type="list" allowBlank="1" showInputMessage="1" showErrorMessage="1" sqref="V15">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69" t="s">
        <v>105</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675" t="s">
        <v>234</v>
      </c>
      <c r="B3" s="1676"/>
      <c r="C3" s="1676"/>
      <c r="D3" s="1676"/>
      <c r="E3" s="1676"/>
      <c r="F3" s="1676"/>
      <c r="G3" s="1676"/>
      <c r="H3" s="1676"/>
      <c r="I3" s="1676"/>
      <c r="J3" s="1676"/>
      <c r="K3" s="1676"/>
      <c r="L3" s="1676"/>
      <c r="M3" s="1676"/>
      <c r="N3" s="1676"/>
      <c r="O3" s="1677"/>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81" t="s">
        <v>28</v>
      </c>
      <c r="G4" s="1382"/>
      <c r="H4" s="208"/>
      <c r="I4" s="1795"/>
      <c r="J4" s="1795"/>
      <c r="K4" s="1795"/>
      <c r="L4" s="1795"/>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386" t="s">
        <v>244</v>
      </c>
      <c r="G5" s="1387"/>
      <c r="H5" s="185"/>
      <c r="I5" s="1393"/>
      <c r="J5" s="1393"/>
      <c r="K5" s="1393"/>
      <c r="L5" s="1393"/>
      <c r="M5" s="1388" t="s">
        <v>22</v>
      </c>
      <c r="N5" s="1388"/>
      <c r="O5" s="58"/>
      <c r="P5" s="238"/>
      <c r="Q5" s="1789" t="s">
        <v>302</v>
      </c>
      <c r="R5" s="1790"/>
      <c r="S5" s="1790"/>
      <c r="T5" s="1790"/>
      <c r="U5" s="1790"/>
      <c r="V5" s="1790"/>
      <c r="W5" s="1791"/>
      <c r="Y5" s="172" t="s">
        <v>31</v>
      </c>
      <c r="Z5" s="176">
        <f>SUMIF($G$16:$G$43,"STATE",$K$16:$K$43)</f>
        <v>193.99999999999997</v>
      </c>
      <c r="AA5" s="176">
        <f>SUMIF($G$16:$G$43,"STATE",$S$16:$S$43)</f>
        <v>0</v>
      </c>
    </row>
    <row r="6" spans="1:28" s="57" customFormat="1" ht="16.5" thickBot="1" x14ac:dyDescent="0.25">
      <c r="A6" s="1384" t="s">
        <v>12</v>
      </c>
      <c r="B6" s="1385"/>
      <c r="C6" s="1385"/>
      <c r="D6" s="1289"/>
      <c r="E6" s="1290"/>
      <c r="F6" s="1386" t="s">
        <v>20</v>
      </c>
      <c r="G6" s="1387"/>
      <c r="H6" s="185"/>
      <c r="I6" s="1393" t="s">
        <v>11</v>
      </c>
      <c r="J6" s="1393"/>
      <c r="K6" s="1393"/>
      <c r="L6" s="1393"/>
      <c r="M6" s="1389" t="s">
        <v>233</v>
      </c>
      <c r="N6" s="1389"/>
      <c r="O6" s="212">
        <f>O4+O5*10</f>
        <v>0</v>
      </c>
      <c r="P6" s="238"/>
      <c r="Q6" s="1786" t="s">
        <v>573</v>
      </c>
      <c r="R6" s="1787"/>
      <c r="S6" s="1787"/>
      <c r="T6" s="1787"/>
      <c r="U6" s="1787"/>
      <c r="V6" s="1787"/>
      <c r="W6" s="1788"/>
      <c r="Y6" s="172" t="s">
        <v>32</v>
      </c>
      <c r="Z6" s="176">
        <f>SUMIF($G$16:$G$43,"COUNTY",$K$16:$K$43)</f>
        <v>0</v>
      </c>
      <c r="AA6" s="176">
        <f>SUMIF($G$16:$G$43,"COUNTY",$S$16:$S$43)</f>
        <v>0</v>
      </c>
    </row>
    <row r="7" spans="1:28" s="57" customFormat="1" ht="16.5" thickBot="1" x14ac:dyDescent="0.25">
      <c r="A7" s="1384" t="s">
        <v>5</v>
      </c>
      <c r="B7" s="1385"/>
      <c r="C7" s="1385"/>
      <c r="D7" s="1282"/>
      <c r="E7" s="1283"/>
      <c r="F7" s="1693" t="s">
        <v>21</v>
      </c>
      <c r="G7" s="1664"/>
      <c r="H7" s="241"/>
      <c r="I7" s="1776"/>
      <c r="J7" s="1776"/>
      <c r="K7" s="1776"/>
      <c r="L7" s="1777"/>
      <c r="M7" s="789"/>
      <c r="N7" s="242"/>
      <c r="O7" s="236"/>
      <c r="P7" s="238"/>
      <c r="Q7" s="1778" t="s">
        <v>235</v>
      </c>
      <c r="R7" s="1779"/>
      <c r="S7" s="1779"/>
      <c r="T7" s="1779"/>
      <c r="U7" s="1779"/>
      <c r="V7" s="1779"/>
      <c r="W7" s="1780"/>
      <c r="Y7" s="172" t="s">
        <v>52</v>
      </c>
      <c r="Z7" s="176">
        <f>SUMIF($G$16:$G$43,"CITY",$K$16:$K$43)</f>
        <v>0</v>
      </c>
      <c r="AA7" s="176">
        <f>SUMIF($G$16:$G$43,"CITY",$S$16:$S$43)</f>
        <v>0</v>
      </c>
    </row>
    <row r="8" spans="1:28" s="57" customFormat="1" ht="15.75" customHeight="1" x14ac:dyDescent="0.2">
      <c r="A8" s="1394" t="s">
        <v>54</v>
      </c>
      <c r="B8" s="1395"/>
      <c r="C8" s="1395"/>
      <c r="D8" s="1781">
        <v>1</v>
      </c>
      <c r="E8" s="1782"/>
      <c r="F8" s="1379" t="s">
        <v>253</v>
      </c>
      <c r="G8" s="1380"/>
      <c r="H8" s="791"/>
      <c r="I8" s="1785"/>
      <c r="J8" s="1785"/>
      <c r="K8" s="1785"/>
      <c r="L8" s="1785"/>
      <c r="M8" s="1380" t="s">
        <v>257</v>
      </c>
      <c r="N8" s="1380"/>
      <c r="O8" s="55">
        <v>0</v>
      </c>
      <c r="P8" s="239"/>
      <c r="Q8" s="1772" t="s">
        <v>303</v>
      </c>
      <c r="R8" s="1726"/>
      <c r="S8" s="1726"/>
      <c r="T8" s="1726"/>
      <c r="U8" s="1726"/>
      <c r="V8" s="1726"/>
      <c r="W8" s="1773"/>
      <c r="Y8" s="172" t="s">
        <v>230</v>
      </c>
      <c r="Z8" s="176">
        <f>SUMIF($G$16:$G$43,"COURT",$K$16:$K$43)</f>
        <v>0</v>
      </c>
      <c r="AA8" s="176">
        <f>SUMIF($G$16:$G$43,"COURT",$S$16:$S$43)</f>
        <v>0</v>
      </c>
    </row>
    <row r="9" spans="1:28" s="57" customFormat="1" ht="18" customHeight="1" thickBot="1" x14ac:dyDescent="0.25">
      <c r="A9" s="1402" t="s">
        <v>53</v>
      </c>
      <c r="B9" s="1403"/>
      <c r="C9" s="1403"/>
      <c r="D9" s="1404">
        <f>100%-D8</f>
        <v>0</v>
      </c>
      <c r="E9" s="1549"/>
      <c r="F9" s="1386" t="s">
        <v>244</v>
      </c>
      <c r="G9" s="1387"/>
      <c r="H9" s="790"/>
      <c r="I9" s="1393"/>
      <c r="J9" s="1393"/>
      <c r="K9" s="1393"/>
      <c r="L9" s="1393"/>
      <c r="M9" s="1387" t="s">
        <v>22</v>
      </c>
      <c r="N9" s="1387"/>
      <c r="O9" s="58"/>
      <c r="P9" s="239"/>
      <c r="Q9" s="1774"/>
      <c r="R9" s="1729"/>
      <c r="S9" s="1729"/>
      <c r="T9" s="1729"/>
      <c r="U9" s="1729"/>
      <c r="V9" s="1729"/>
      <c r="W9" s="1775"/>
      <c r="Y9" s="153" t="s">
        <v>446</v>
      </c>
      <c r="Z9" s="176">
        <f>SUMIF($G$16:$G$43,"CNTY or CTY",$K$16:$K$43)</f>
        <v>0</v>
      </c>
      <c r="AA9" s="176">
        <f>SUMIF($G$16:$G$43,"CNTY or CTY",$S$16:$S$43)</f>
        <v>0</v>
      </c>
    </row>
    <row r="10" spans="1:28" s="57" customFormat="1" ht="16.5" customHeight="1" thickBot="1" x14ac:dyDescent="0.25">
      <c r="A10" s="1436" t="s">
        <v>276</v>
      </c>
      <c r="B10" s="1437"/>
      <c r="C10" s="1437"/>
      <c r="D10" s="1651">
        <f>O6+O10</f>
        <v>0</v>
      </c>
      <c r="E10" s="1768"/>
      <c r="F10" s="1386" t="s">
        <v>20</v>
      </c>
      <c r="G10" s="1387"/>
      <c r="H10" s="790"/>
      <c r="I10" s="1393"/>
      <c r="J10" s="1393"/>
      <c r="K10" s="1393"/>
      <c r="L10" s="1393"/>
      <c r="M10" s="1387" t="s">
        <v>233</v>
      </c>
      <c r="N10" s="1387"/>
      <c r="O10" s="788">
        <f>O8+O9*10</f>
        <v>0</v>
      </c>
      <c r="P10" s="240"/>
      <c r="Q10" s="1769" t="s">
        <v>239</v>
      </c>
      <c r="R10" s="1770"/>
      <c r="S10" s="1770"/>
      <c r="T10" s="1770"/>
      <c r="U10" s="1770"/>
      <c r="V10" s="1770"/>
      <c r="W10" s="1771"/>
      <c r="Y10" s="264" t="s">
        <v>246</v>
      </c>
      <c r="Z10" s="148">
        <f>SUM(Z5:Z9)</f>
        <v>193.99999999999997</v>
      </c>
      <c r="AA10" s="148">
        <f>SUM(AA5:AA9)</f>
        <v>0</v>
      </c>
    </row>
    <row r="11" spans="1:28" s="57" customFormat="1" ht="16.5" customHeight="1" thickBot="1" x14ac:dyDescent="0.25">
      <c r="A11" s="1439" t="s">
        <v>277</v>
      </c>
      <c r="B11" s="1440"/>
      <c r="C11" s="1440"/>
      <c r="D11" s="1649">
        <f>ROUNDUP(D10/10,0)</f>
        <v>0</v>
      </c>
      <c r="E11" s="1753"/>
      <c r="F11" s="1398" t="s">
        <v>21</v>
      </c>
      <c r="G11" s="1399"/>
      <c r="H11" s="792"/>
      <c r="I11" s="1754"/>
      <c r="J11" s="1754"/>
      <c r="K11" s="1754"/>
      <c r="L11" s="1754"/>
      <c r="M11" s="1800" t="s">
        <v>568</v>
      </c>
      <c r="N11" s="1800"/>
      <c r="O11" s="793">
        <f>'1-DUI (Reduce Base)'!P11</f>
        <v>5</v>
      </c>
      <c r="P11" s="240"/>
      <c r="Q11" s="1755" t="s">
        <v>430</v>
      </c>
      <c r="R11" s="1756"/>
      <c r="S11" s="1756"/>
      <c r="T11" s="1756"/>
      <c r="U11" s="1756"/>
      <c r="V11" s="1756"/>
      <c r="W11" s="1757"/>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112">
        <v>0.02</v>
      </c>
      <c r="B14" s="112" t="s">
        <v>58</v>
      </c>
      <c r="C14" s="1364" t="s">
        <v>226</v>
      </c>
      <c r="D14" s="1365"/>
      <c r="E14" s="1365"/>
      <c r="F14" s="1366"/>
      <c r="G14" s="113" t="s">
        <v>249</v>
      </c>
      <c r="H14" s="114" t="s">
        <v>0</v>
      </c>
      <c r="I14" s="266" t="s">
        <v>298</v>
      </c>
      <c r="J14" s="1747" t="s">
        <v>6</v>
      </c>
      <c r="K14" s="234" t="s">
        <v>299</v>
      </c>
      <c r="L14" s="67"/>
      <c r="M14" s="1716" t="s">
        <v>260</v>
      </c>
      <c r="N14" s="1717"/>
      <c r="O14" s="120" t="s">
        <v>248</v>
      </c>
      <c r="P14" s="121"/>
      <c r="Q14" s="690" t="s">
        <v>428</v>
      </c>
      <c r="R14" s="1747" t="s">
        <v>6</v>
      </c>
      <c r="S14" s="234" t="s">
        <v>299</v>
      </c>
      <c r="T14" s="228"/>
      <c r="U14" s="265" t="s">
        <v>256</v>
      </c>
      <c r="V14" s="1749" t="s">
        <v>61</v>
      </c>
      <c r="W14" s="1751" t="s">
        <v>384</v>
      </c>
    </row>
    <row r="15" spans="1:28" ht="30.75" customHeight="1" thickBot="1" x14ac:dyDescent="0.25">
      <c r="A15" s="115"/>
      <c r="B15" s="115"/>
      <c r="C15" s="1367"/>
      <c r="D15" s="1368"/>
      <c r="E15" s="1368"/>
      <c r="F15" s="1369"/>
      <c r="G15" s="116"/>
      <c r="H15" s="116"/>
      <c r="I15" s="267"/>
      <c r="J15" s="1748"/>
      <c r="K15" s="244" t="s">
        <v>42</v>
      </c>
      <c r="L15" s="68"/>
      <c r="M15" s="1714"/>
      <c r="N15" s="1715"/>
      <c r="O15" s="245" t="s">
        <v>43</v>
      </c>
      <c r="P15" s="121"/>
      <c r="Q15" s="246" t="e">
        <f>(Q34-Q30)/(I34-I30)</f>
        <v>#DIV/0!</v>
      </c>
      <c r="R15" s="1748"/>
      <c r="S15" s="244" t="s">
        <v>44</v>
      </c>
      <c r="T15" s="228"/>
      <c r="U15" s="298" t="s">
        <v>300</v>
      </c>
      <c r="V15" s="1750"/>
      <c r="W15" s="1752"/>
    </row>
    <row r="16" spans="1:28" s="74" customFormat="1" ht="15.75" customHeight="1" thickTop="1" x14ac:dyDescent="0.2">
      <c r="A16" s="69" t="s">
        <v>8</v>
      </c>
      <c r="B16" s="1660" t="s">
        <v>241</v>
      </c>
      <c r="C16" s="1745" t="s">
        <v>490</v>
      </c>
      <c r="D16" s="1692"/>
      <c r="E16" s="1692"/>
      <c r="F16" s="1692"/>
      <c r="G16" s="695" t="s">
        <v>32</v>
      </c>
      <c r="H16" s="71" t="s">
        <v>14</v>
      </c>
      <c r="I16" s="154">
        <v>50</v>
      </c>
      <c r="J16" s="162">
        <f t="shared" ref="J16:J33" si="0">IF(A16="Y", I16*2%,0)</f>
        <v>1</v>
      </c>
      <c r="K16" s="198">
        <f t="shared" ref="K16:K33" si="1">I16-J16</f>
        <v>49</v>
      </c>
      <c r="L16" s="164"/>
      <c r="M16" s="1731"/>
      <c r="N16" s="1732"/>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660"/>
      <c r="C17" s="1746" t="s">
        <v>491</v>
      </c>
      <c r="D17" s="1659"/>
      <c r="E17" s="1659"/>
      <c r="F17" s="1659"/>
      <c r="G17" s="694" t="s">
        <v>32</v>
      </c>
      <c r="H17" s="77" t="s">
        <v>14</v>
      </c>
      <c r="I17" s="156">
        <v>50</v>
      </c>
      <c r="J17" s="162">
        <f t="shared" si="0"/>
        <v>1</v>
      </c>
      <c r="K17" s="167">
        <f t="shared" si="1"/>
        <v>49</v>
      </c>
      <c r="L17" s="164"/>
      <c r="M17" s="1665"/>
      <c r="N17" s="1666"/>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660"/>
      <c r="C18" s="1659" t="s">
        <v>212</v>
      </c>
      <c r="D18" s="1659"/>
      <c r="E18" s="1659"/>
      <c r="F18" s="1659"/>
      <c r="G18" s="694" t="s">
        <v>32</v>
      </c>
      <c r="H18" s="77" t="s">
        <v>27</v>
      </c>
      <c r="I18" s="155">
        <f>(D10-SUM(I16:I17))*D8</f>
        <v>-100</v>
      </c>
      <c r="J18" s="162">
        <f t="shared" si="0"/>
        <v>-2</v>
      </c>
      <c r="K18" s="167">
        <f t="shared" si="1"/>
        <v>-98</v>
      </c>
      <c r="L18" s="164"/>
      <c r="M18" s="1665"/>
      <c r="N18" s="1666"/>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661"/>
      <c r="C19" s="1659" t="s">
        <v>213</v>
      </c>
      <c r="D19" s="1659"/>
      <c r="E19" s="1659"/>
      <c r="F19" s="1659"/>
      <c r="G19" s="694" t="s">
        <v>52</v>
      </c>
      <c r="H19" s="77" t="s">
        <v>25</v>
      </c>
      <c r="I19" s="155">
        <f>(D10-SUM(I16:I17))*D9</f>
        <v>0</v>
      </c>
      <c r="J19" s="162">
        <f t="shared" si="0"/>
        <v>0</v>
      </c>
      <c r="K19" s="167">
        <f t="shared" si="1"/>
        <v>0</v>
      </c>
      <c r="L19" s="164"/>
      <c r="M19" s="1665"/>
      <c r="N19" s="1666"/>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659" t="s">
        <v>546</v>
      </c>
      <c r="D20" s="1659"/>
      <c r="E20" s="1659"/>
      <c r="F20" s="1659"/>
      <c r="G20" s="694" t="s">
        <v>31</v>
      </c>
      <c r="H20" s="77" t="s">
        <v>26</v>
      </c>
      <c r="I20" s="155">
        <f>$D$11*B20</f>
        <v>0</v>
      </c>
      <c r="J20" s="162">
        <f t="shared" si="0"/>
        <v>0</v>
      </c>
      <c r="K20" s="167">
        <f t="shared" si="1"/>
        <v>0</v>
      </c>
      <c r="L20" s="164"/>
      <c r="M20" s="1665"/>
      <c r="N20" s="1666"/>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659" t="s">
        <v>547</v>
      </c>
      <c r="D21" s="1659"/>
      <c r="E21" s="1659"/>
      <c r="F21" s="1659"/>
      <c r="G21" s="694" t="s">
        <v>32</v>
      </c>
      <c r="H21" s="77" t="s">
        <v>27</v>
      </c>
      <c r="I21" s="155">
        <f t="shared" ref="I21:I32" si="6">$D$11*B21</f>
        <v>0</v>
      </c>
      <c r="J21" s="162">
        <f t="shared" si="0"/>
        <v>0</v>
      </c>
      <c r="K21" s="167">
        <f t="shared" si="1"/>
        <v>0</v>
      </c>
      <c r="L21" s="164"/>
      <c r="M21" s="1665"/>
      <c r="N21" s="1666"/>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665" t="s">
        <v>216</v>
      </c>
      <c r="D22" s="1700"/>
      <c r="E22" s="1700"/>
      <c r="F22" s="1701"/>
      <c r="G22" s="694" t="s">
        <v>32</v>
      </c>
      <c r="H22" s="77" t="s">
        <v>55</v>
      </c>
      <c r="I22" s="155">
        <f t="shared" si="6"/>
        <v>0</v>
      </c>
      <c r="J22" s="162">
        <f t="shared" si="0"/>
        <v>0</v>
      </c>
      <c r="K22" s="167">
        <f t="shared" si="1"/>
        <v>0</v>
      </c>
      <c r="L22" s="164"/>
      <c r="M22" s="1665"/>
      <c r="N22" s="1666"/>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665" t="s">
        <v>466</v>
      </c>
      <c r="D23" s="1700"/>
      <c r="E23" s="1700"/>
      <c r="F23" s="1701"/>
      <c r="G23" s="694" t="s">
        <v>31</v>
      </c>
      <c r="H23" s="77" t="s">
        <v>72</v>
      </c>
      <c r="I23" s="155">
        <f t="shared" si="6"/>
        <v>0</v>
      </c>
      <c r="J23" s="162">
        <f t="shared" si="0"/>
        <v>0</v>
      </c>
      <c r="K23" s="167">
        <f t="shared" si="1"/>
        <v>0</v>
      </c>
      <c r="L23" s="164"/>
      <c r="M23" s="1665"/>
      <c r="N23" s="1666"/>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659" t="s">
        <v>217</v>
      </c>
      <c r="D24" s="1659"/>
      <c r="E24" s="1739" t="str">
        <f>IF(SUM(B24:B28)=O11,"GC 76000 PA ($" &amp;O11 &amp; " for every 10) breakdown per local board of supervisor resolution (BOS).","ERROR! GC 76000 PA total is not $" &amp;O11&amp; ". Check Court's board resolution.")</f>
        <v>ERROR! GC 76000 PA total is not $5. Check Court's board resolution.</v>
      </c>
      <c r="F24" s="1740"/>
      <c r="G24" s="694" t="s">
        <v>32</v>
      </c>
      <c r="H24" s="77" t="s">
        <v>64</v>
      </c>
      <c r="I24" s="155">
        <f t="shared" si="6"/>
        <v>0</v>
      </c>
      <c r="J24" s="162">
        <f t="shared" si="0"/>
        <v>0</v>
      </c>
      <c r="K24" s="167">
        <f t="shared" si="1"/>
        <v>0</v>
      </c>
      <c r="L24" s="164"/>
      <c r="M24" s="1665"/>
      <c r="N24" s="1666"/>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659" t="s">
        <v>218</v>
      </c>
      <c r="D25" s="1659"/>
      <c r="E25" s="1741"/>
      <c r="F25" s="1742"/>
      <c r="G25" s="694" t="s">
        <v>32</v>
      </c>
      <c r="H25" s="77" t="s">
        <v>35</v>
      </c>
      <c r="I25" s="155">
        <f t="shared" si="6"/>
        <v>0</v>
      </c>
      <c r="J25" s="162">
        <f t="shared" si="0"/>
        <v>0</v>
      </c>
      <c r="K25" s="167">
        <f t="shared" si="1"/>
        <v>0</v>
      </c>
      <c r="L25" s="164"/>
      <c r="M25" s="1665"/>
      <c r="N25" s="1666"/>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659" t="s">
        <v>219</v>
      </c>
      <c r="D26" s="1659"/>
      <c r="E26" s="1741"/>
      <c r="F26" s="1742"/>
      <c r="G26" s="694" t="s">
        <v>32</v>
      </c>
      <c r="H26" s="77" t="s">
        <v>65</v>
      </c>
      <c r="I26" s="155">
        <f t="shared" si="6"/>
        <v>0</v>
      </c>
      <c r="J26" s="162">
        <f t="shared" si="0"/>
        <v>0</v>
      </c>
      <c r="K26" s="167">
        <f t="shared" si="1"/>
        <v>0</v>
      </c>
      <c r="L26" s="164"/>
      <c r="M26" s="1665"/>
      <c r="N26" s="1666"/>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659" t="s">
        <v>401</v>
      </c>
      <c r="D27" s="1659"/>
      <c r="E27" s="1741"/>
      <c r="F27" s="1742"/>
      <c r="G27" s="694" t="s">
        <v>32</v>
      </c>
      <c r="H27" s="77" t="s">
        <v>65</v>
      </c>
      <c r="I27" s="155">
        <f>$D$11*B27</f>
        <v>0</v>
      </c>
      <c r="J27" s="162">
        <f>IF(A27="Y", I27*2%,0)</f>
        <v>0</v>
      </c>
      <c r="K27" s="167">
        <f t="shared" si="1"/>
        <v>0</v>
      </c>
      <c r="L27" s="164"/>
      <c r="M27" s="1665"/>
      <c r="N27" s="1666"/>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659" t="s">
        <v>254</v>
      </c>
      <c r="D28" s="1659"/>
      <c r="E28" s="1743"/>
      <c r="F28" s="1744"/>
      <c r="G28" s="694" t="s">
        <v>32</v>
      </c>
      <c r="H28" s="77"/>
      <c r="I28" s="155">
        <f t="shared" si="6"/>
        <v>0</v>
      </c>
      <c r="J28" s="162">
        <f t="shared" si="0"/>
        <v>0</v>
      </c>
      <c r="K28" s="167">
        <f t="shared" si="1"/>
        <v>0</v>
      </c>
      <c r="L28" s="164"/>
      <c r="M28" s="1665"/>
      <c r="N28" s="1666"/>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449" t="s">
        <v>286</v>
      </c>
      <c r="D29" s="1459"/>
      <c r="E29" s="1459"/>
      <c r="F29" s="1460"/>
      <c r="G29" s="702" t="s">
        <v>32</v>
      </c>
      <c r="H29" s="84" t="s">
        <v>36</v>
      </c>
      <c r="I29" s="155">
        <f t="shared" si="6"/>
        <v>0</v>
      </c>
      <c r="J29" s="162">
        <f t="shared" si="0"/>
        <v>0</v>
      </c>
      <c r="K29" s="167">
        <f t="shared" si="1"/>
        <v>0</v>
      </c>
      <c r="L29" s="164"/>
      <c r="M29" s="1665"/>
      <c r="N29" s="1666"/>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449" t="s">
        <v>385</v>
      </c>
      <c r="D30" s="1459"/>
      <c r="E30" s="1459"/>
      <c r="F30" s="1460"/>
      <c r="G30" s="702" t="s">
        <v>31</v>
      </c>
      <c r="H30" s="91" t="s">
        <v>39</v>
      </c>
      <c r="I30" s="204">
        <v>4</v>
      </c>
      <c r="J30" s="162">
        <f>IF(A30="Y", I30*2%,0)</f>
        <v>0.08</v>
      </c>
      <c r="K30" s="167">
        <f t="shared" si="1"/>
        <v>3.92</v>
      </c>
      <c r="L30" s="164"/>
      <c r="M30" s="1665"/>
      <c r="N30" s="1666"/>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449" t="s">
        <v>555</v>
      </c>
      <c r="D31" s="1459"/>
      <c r="E31" s="1460"/>
      <c r="F31" s="1591" t="s">
        <v>281</v>
      </c>
      <c r="G31" s="702" t="s">
        <v>31</v>
      </c>
      <c r="H31" s="84" t="s">
        <v>37</v>
      </c>
      <c r="I31" s="155">
        <f t="shared" si="6"/>
        <v>0</v>
      </c>
      <c r="J31" s="162">
        <f t="shared" si="0"/>
        <v>0</v>
      </c>
      <c r="K31" s="167">
        <f t="shared" si="1"/>
        <v>0</v>
      </c>
      <c r="L31" s="164"/>
      <c r="M31" s="1665"/>
      <c r="N31" s="1666"/>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449" t="s">
        <v>556</v>
      </c>
      <c r="D32" s="1459"/>
      <c r="E32" s="1460"/>
      <c r="F32" s="1592"/>
      <c r="G32" s="702" t="s">
        <v>31</v>
      </c>
      <c r="H32" s="84" t="s">
        <v>197</v>
      </c>
      <c r="I32" s="155">
        <f t="shared" si="6"/>
        <v>0</v>
      </c>
      <c r="J32" s="162">
        <f t="shared" si="0"/>
        <v>0</v>
      </c>
      <c r="K32" s="167">
        <f t="shared" si="1"/>
        <v>0</v>
      </c>
      <c r="L32" s="164"/>
      <c r="M32" s="1665"/>
      <c r="N32" s="1666"/>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449" t="s">
        <v>220</v>
      </c>
      <c r="D33" s="1459"/>
      <c r="E33" s="1459"/>
      <c r="F33" s="1460"/>
      <c r="G33" s="702" t="s">
        <v>31</v>
      </c>
      <c r="H33" s="84" t="s">
        <v>10</v>
      </c>
      <c r="I33" s="155">
        <f>$D$10*20%</f>
        <v>0</v>
      </c>
      <c r="J33" s="162">
        <f t="shared" si="0"/>
        <v>0</v>
      </c>
      <c r="K33" s="167">
        <f t="shared" si="1"/>
        <v>0</v>
      </c>
      <c r="L33" s="164"/>
      <c r="M33" s="1665"/>
      <c r="N33" s="1666"/>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456" t="s">
        <v>221</v>
      </c>
      <c r="D34" s="1694"/>
      <c r="E34" s="1694"/>
      <c r="F34" s="1695"/>
      <c r="G34" s="703"/>
      <c r="H34" s="88"/>
      <c r="I34" s="157">
        <f>SUM(I16:I33)</f>
        <v>4</v>
      </c>
      <c r="J34" s="162"/>
      <c r="K34" s="168">
        <f>SUM(K16:K33)</f>
        <v>3.92</v>
      </c>
      <c r="L34" s="165"/>
      <c r="M34" s="1449"/>
      <c r="N34" s="1699"/>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449" t="s">
        <v>419</v>
      </c>
      <c r="D35" s="1459"/>
      <c r="E35" s="1459"/>
      <c r="F35" s="1460"/>
      <c r="G35" s="702" t="s">
        <v>31</v>
      </c>
      <c r="H35" s="91"/>
      <c r="I35" s="204">
        <v>40</v>
      </c>
      <c r="J35" s="162">
        <f>IF(A35="Y", I35*2%,0)</f>
        <v>0</v>
      </c>
      <c r="K35" s="167">
        <f t="shared" ref="K35:K42" si="9">I35-J35</f>
        <v>40</v>
      </c>
      <c r="L35" s="164"/>
      <c r="M35" s="1665"/>
      <c r="N35" s="1666"/>
      <c r="O35" s="78"/>
      <c r="P35" s="72"/>
      <c r="Q35" s="155">
        <f t="shared" ref="Q35:Q42" si="10">IF($Q$45=0,,I35)</f>
        <v>0</v>
      </c>
      <c r="R35" s="162">
        <f>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446" t="s">
        <v>259</v>
      </c>
      <c r="D36" s="1447"/>
      <c r="E36" s="1447"/>
      <c r="F36" s="1448"/>
      <c r="G36" s="704" t="s">
        <v>31</v>
      </c>
      <c r="H36" s="92" t="s">
        <v>197</v>
      </c>
      <c r="I36" s="204">
        <v>30</v>
      </c>
      <c r="J36" s="162">
        <f t="shared" ref="J36:J42" si="11">IF(A36="Y", I36*2%,0)</f>
        <v>0</v>
      </c>
      <c r="K36" s="167">
        <f t="shared" si="9"/>
        <v>30</v>
      </c>
      <c r="L36" s="164"/>
      <c r="M36" s="1665"/>
      <c r="N36" s="1666"/>
      <c r="O36" s="78"/>
      <c r="P36" s="72"/>
      <c r="Q36" s="155">
        <f t="shared" si="10"/>
        <v>0</v>
      </c>
      <c r="R36" s="162">
        <f>IF(A36="Y", Q36*2%,)</f>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446" t="s">
        <v>421</v>
      </c>
      <c r="D37" s="1447"/>
      <c r="E37" s="1447"/>
      <c r="F37" s="1448"/>
      <c r="G37" s="704" t="s">
        <v>230</v>
      </c>
      <c r="H37" s="92" t="s">
        <v>24</v>
      </c>
      <c r="I37" s="204"/>
      <c r="J37" s="162">
        <f t="shared" si="11"/>
        <v>0</v>
      </c>
      <c r="K37" s="167">
        <f t="shared" si="9"/>
        <v>0</v>
      </c>
      <c r="L37" s="164"/>
      <c r="M37" s="1665"/>
      <c r="N37" s="1666"/>
      <c r="O37" s="78"/>
      <c r="P37" s="72"/>
      <c r="Q37" s="155">
        <f t="shared" si="10"/>
        <v>0</v>
      </c>
      <c r="R37" s="162">
        <f>IF(A37="Y", Q37*2%,)</f>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446" t="s">
        <v>447</v>
      </c>
      <c r="D38" s="1447"/>
      <c r="E38" s="1447"/>
      <c r="F38" s="1448"/>
      <c r="G38" s="704" t="s">
        <v>32</v>
      </c>
      <c r="H38" s="92"/>
      <c r="I38" s="204"/>
      <c r="J38" s="162">
        <f t="shared" si="11"/>
        <v>0</v>
      </c>
      <c r="K38" s="167">
        <f t="shared" si="9"/>
        <v>0</v>
      </c>
      <c r="L38" s="164"/>
      <c r="M38" s="627"/>
      <c r="N38" s="628"/>
      <c r="O38" s="78"/>
      <c r="P38" s="72"/>
      <c r="Q38" s="155">
        <f t="shared" si="10"/>
        <v>0</v>
      </c>
      <c r="R38" s="162">
        <f t="shared" ref="R38" si="12">IF(A38="Y", Q38*2%,)</f>
        <v>0</v>
      </c>
      <c r="S38" s="167">
        <f t="shared" ref="S38" si="13">Q38-R38</f>
        <v>0</v>
      </c>
      <c r="T38" s="229"/>
      <c r="U38" s="181">
        <f t="shared" si="3"/>
        <v>0</v>
      </c>
      <c r="V38" s="654"/>
      <c r="W38" s="632"/>
      <c r="X38" s="125"/>
      <c r="Y38" s="125"/>
      <c r="Z38" s="125"/>
      <c r="AA38" s="125"/>
      <c r="AB38" s="125"/>
    </row>
    <row r="39" spans="1:28" s="74" customFormat="1" ht="15.75" customHeight="1" x14ac:dyDescent="0.2">
      <c r="A39" s="69" t="s">
        <v>8</v>
      </c>
      <c r="B39" s="94"/>
      <c r="C39" s="1446" t="s">
        <v>559</v>
      </c>
      <c r="D39" s="1447"/>
      <c r="E39" s="1447"/>
      <c r="F39" s="1448"/>
      <c r="G39" s="704" t="s">
        <v>31</v>
      </c>
      <c r="H39" s="92" t="s">
        <v>13</v>
      </c>
      <c r="I39" s="204">
        <v>120</v>
      </c>
      <c r="J39" s="162">
        <f t="shared" si="11"/>
        <v>2.4</v>
      </c>
      <c r="K39" s="167">
        <f t="shared" si="9"/>
        <v>117.6</v>
      </c>
      <c r="L39" s="164"/>
      <c r="M39" s="1665"/>
      <c r="N39" s="1666"/>
      <c r="O39" s="78"/>
      <c r="P39" s="72"/>
      <c r="Q39" s="155">
        <f t="shared" si="10"/>
        <v>0</v>
      </c>
      <c r="R39" s="162">
        <f>IF(A39="Y", Q39*2%,)</f>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446" t="s">
        <v>454</v>
      </c>
      <c r="D40" s="1447"/>
      <c r="E40" s="1447"/>
      <c r="F40" s="1448"/>
      <c r="G40" s="704" t="s">
        <v>32</v>
      </c>
      <c r="H40" s="92" t="s">
        <v>27</v>
      </c>
      <c r="I40" s="204"/>
      <c r="J40" s="162">
        <f t="shared" si="11"/>
        <v>0</v>
      </c>
      <c r="K40" s="167">
        <f t="shared" si="9"/>
        <v>0</v>
      </c>
      <c r="L40" s="164"/>
      <c r="M40" s="1665"/>
      <c r="N40" s="1666"/>
      <c r="O40" s="78"/>
      <c r="P40" s="72"/>
      <c r="Q40" s="155">
        <f t="shared" si="10"/>
        <v>0</v>
      </c>
      <c r="R40" s="162">
        <f>IF(A40="Y", Q40*2%,)</f>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449" t="s">
        <v>517</v>
      </c>
      <c r="D41" s="1459"/>
      <c r="E41" s="1459"/>
      <c r="F41" s="1460"/>
      <c r="G41" s="704" t="s">
        <v>230</v>
      </c>
      <c r="H41" s="92" t="s">
        <v>82</v>
      </c>
      <c r="I41" s="204"/>
      <c r="J41" s="162">
        <f t="shared" si="11"/>
        <v>0</v>
      </c>
      <c r="K41" s="167">
        <f t="shared" si="9"/>
        <v>0</v>
      </c>
      <c r="L41" s="164"/>
      <c r="M41" s="1665"/>
      <c r="N41" s="1666"/>
      <c r="O41" s="78"/>
      <c r="P41" s="72"/>
      <c r="Q41" s="155">
        <f t="shared" si="10"/>
        <v>0</v>
      </c>
      <c r="R41" s="162">
        <f>IF(A41="Y", Q41*2%,)</f>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446" t="s">
        <v>225</v>
      </c>
      <c r="D42" s="1447"/>
      <c r="E42" s="1447"/>
      <c r="F42" s="1448"/>
      <c r="G42" s="704" t="s">
        <v>31</v>
      </c>
      <c r="H42" s="92" t="s">
        <v>80</v>
      </c>
      <c r="I42" s="205"/>
      <c r="J42" s="162">
        <f t="shared" si="11"/>
        <v>0</v>
      </c>
      <c r="K42" s="167">
        <f t="shared" si="9"/>
        <v>0</v>
      </c>
      <c r="L42" s="164"/>
      <c r="M42" s="1665"/>
      <c r="N42" s="1666"/>
      <c r="O42" s="78"/>
      <c r="P42" s="72"/>
      <c r="Q42" s="155">
        <f t="shared" si="10"/>
        <v>0</v>
      </c>
      <c r="R42" s="162">
        <f>IF(A42="Y", Q42*2%,)</f>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665" t="s">
        <v>487</v>
      </c>
      <c r="D43" s="1700"/>
      <c r="E43" s="1700"/>
      <c r="F43" s="1701"/>
      <c r="G43" s="705" t="s">
        <v>31</v>
      </c>
      <c r="H43" s="96" t="s">
        <v>41</v>
      </c>
      <c r="I43" s="97"/>
      <c r="J43" s="163"/>
      <c r="K43" s="169">
        <f>J44</f>
        <v>2.48</v>
      </c>
      <c r="L43" s="164"/>
      <c r="M43" s="1665"/>
      <c r="N43" s="1666"/>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1736" t="s">
        <v>429</v>
      </c>
      <c r="B46" s="1736"/>
      <c r="C46" s="1736"/>
      <c r="D46" s="210"/>
      <c r="E46" s="133"/>
      <c r="F46" s="133"/>
      <c r="K46" s="135"/>
      <c r="L46" s="136"/>
      <c r="P46" s="137"/>
      <c r="Q46" s="137"/>
      <c r="R46" s="137"/>
      <c r="S46" s="137"/>
      <c r="T46" s="137"/>
      <c r="U46" s="138"/>
      <c r="V46" s="138"/>
      <c r="W46" s="139"/>
    </row>
    <row r="47" spans="1:28" s="141" customFormat="1" ht="18" customHeight="1" x14ac:dyDescent="0.2">
      <c r="A47" s="769">
        <v>1</v>
      </c>
      <c r="B47" s="1799"/>
      <c r="C47" s="1799"/>
      <c r="D47" s="1799"/>
      <c r="E47" s="1799"/>
      <c r="F47" s="1799"/>
      <c r="G47" s="1799"/>
      <c r="H47" s="1799"/>
      <c r="I47" s="1799"/>
      <c r="J47" s="1799"/>
      <c r="K47" s="1799"/>
      <c r="L47" s="1799"/>
      <c r="M47" s="1799"/>
      <c r="N47" s="1799"/>
      <c r="O47" s="1799"/>
      <c r="P47" s="1799"/>
      <c r="Q47" s="1799"/>
      <c r="R47" s="1799"/>
      <c r="S47" s="1799"/>
      <c r="T47" s="1799"/>
      <c r="U47" s="1799"/>
      <c r="V47" s="1799"/>
      <c r="W47" s="1799"/>
    </row>
    <row r="48" spans="1:28" s="141" customFormat="1" ht="18" customHeight="1" x14ac:dyDescent="0.2">
      <c r="A48" s="769">
        <v>2</v>
      </c>
      <c r="B48" s="1799"/>
      <c r="C48" s="1799"/>
      <c r="D48" s="1799"/>
      <c r="E48" s="1799"/>
      <c r="F48" s="1799"/>
      <c r="G48" s="1799"/>
      <c r="H48" s="1799"/>
      <c r="I48" s="1799"/>
      <c r="J48" s="1799"/>
      <c r="K48" s="1799"/>
      <c r="L48" s="1799"/>
      <c r="M48" s="1799"/>
      <c r="N48" s="1799"/>
      <c r="O48" s="1799"/>
      <c r="P48" s="1799"/>
      <c r="Q48" s="1799"/>
      <c r="R48" s="1799"/>
      <c r="S48" s="1799"/>
      <c r="T48" s="1799"/>
      <c r="U48" s="1799"/>
      <c r="V48" s="1799"/>
      <c r="W48" s="1799"/>
    </row>
    <row r="49" spans="1:23" s="141" customFormat="1" ht="18" customHeight="1" x14ac:dyDescent="0.2">
      <c r="A49" s="769">
        <v>3</v>
      </c>
      <c r="B49" s="1799"/>
      <c r="C49" s="1799"/>
      <c r="D49" s="1799"/>
      <c r="E49" s="1799"/>
      <c r="F49" s="1799"/>
      <c r="G49" s="1799"/>
      <c r="H49" s="1799"/>
      <c r="I49" s="1799"/>
      <c r="J49" s="1799"/>
      <c r="K49" s="1799"/>
      <c r="L49" s="1799"/>
      <c r="M49" s="1799"/>
      <c r="N49" s="1799"/>
      <c r="O49" s="1799"/>
      <c r="P49" s="1799"/>
      <c r="Q49" s="1799"/>
      <c r="R49" s="1799"/>
      <c r="S49" s="1799"/>
      <c r="T49" s="1799"/>
      <c r="U49" s="1799"/>
      <c r="V49" s="1799"/>
      <c r="W49" s="1799"/>
    </row>
    <row r="50" spans="1:23" s="54" customFormat="1" ht="18" customHeight="1" x14ac:dyDescent="0.2">
      <c r="A50" s="769">
        <v>4</v>
      </c>
      <c r="B50" s="1799"/>
      <c r="C50" s="1799"/>
      <c r="D50" s="1799"/>
      <c r="E50" s="1799"/>
      <c r="F50" s="1799"/>
      <c r="G50" s="1799"/>
      <c r="H50" s="1799"/>
      <c r="I50" s="1799"/>
      <c r="J50" s="1799"/>
      <c r="K50" s="1799"/>
      <c r="L50" s="1799"/>
      <c r="M50" s="1799"/>
      <c r="N50" s="1799"/>
      <c r="O50" s="1799"/>
      <c r="P50" s="1799"/>
      <c r="Q50" s="1799"/>
      <c r="R50" s="1799"/>
      <c r="S50" s="1799"/>
      <c r="T50" s="1799"/>
      <c r="U50" s="1799"/>
      <c r="V50" s="1799"/>
      <c r="W50" s="1799"/>
    </row>
  </sheetData>
  <sheetProtection insertRows="0"/>
  <mergeCells count="12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A1:K1"/>
    <mergeCell ref="Q3:W3"/>
    <mergeCell ref="A4:C4"/>
    <mergeCell ref="D4:E4"/>
    <mergeCell ref="D5:E5"/>
    <mergeCell ref="F5:G5"/>
    <mergeCell ref="Q7:W7"/>
    <mergeCell ref="M5:N5"/>
    <mergeCell ref="Q5:W5"/>
    <mergeCell ref="L1:U1"/>
    <mergeCell ref="A3:O3"/>
    <mergeCell ref="D10:E10"/>
    <mergeCell ref="F10:G10"/>
    <mergeCell ref="I10:L10"/>
    <mergeCell ref="M10:N10"/>
    <mergeCell ref="Q10:W10"/>
    <mergeCell ref="Q8:W9"/>
    <mergeCell ref="A9:C9"/>
    <mergeCell ref="D9:E9"/>
    <mergeCell ref="F9:G9"/>
    <mergeCell ref="I9:L9"/>
    <mergeCell ref="M9:N9"/>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24:D24"/>
    <mergeCell ref="E24:F28"/>
    <mergeCell ref="M24:N24"/>
    <mergeCell ref="C25:D25"/>
    <mergeCell ref="M25:N25"/>
    <mergeCell ref="C26:D26"/>
    <mergeCell ref="M26:N26"/>
    <mergeCell ref="C28:D28"/>
    <mergeCell ref="M28:N28"/>
    <mergeCell ref="C27:D27"/>
    <mergeCell ref="M27:N27"/>
    <mergeCell ref="C33:F33"/>
    <mergeCell ref="M33:N33"/>
    <mergeCell ref="C34:F34"/>
    <mergeCell ref="M34:N34"/>
    <mergeCell ref="C30:F30"/>
    <mergeCell ref="M30:N30"/>
    <mergeCell ref="C29:F29"/>
    <mergeCell ref="M29:N29"/>
    <mergeCell ref="C31:E31"/>
    <mergeCell ref="F31:F32"/>
    <mergeCell ref="M31:N31"/>
    <mergeCell ref="C32:E32"/>
    <mergeCell ref="M32:N32"/>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s>
  <conditionalFormatting sqref="Q16:S43">
    <cfRule type="cellIs" dxfId="136" priority="22" stopIfTrue="1" operator="equal">
      <formula>0</formula>
    </cfRule>
  </conditionalFormatting>
  <conditionalFormatting sqref="H29 H31:H33 H16:H23">
    <cfRule type="expression" dxfId="135" priority="21" stopIfTrue="1">
      <formula>MOD(ROW(),2)=0</formula>
    </cfRule>
  </conditionalFormatting>
  <conditionalFormatting sqref="U46:V46 U51:V65533 U12:V13">
    <cfRule type="cellIs" dxfId="134" priority="20" stopIfTrue="1" operator="notEqual">
      <formula>0</formula>
    </cfRule>
  </conditionalFormatting>
  <conditionalFormatting sqref="H24:H29">
    <cfRule type="expression" dxfId="133" priority="19" stopIfTrue="1">
      <formula>MOD(ROW(), 2)=0</formula>
    </cfRule>
  </conditionalFormatting>
  <conditionalFormatting sqref="I16:I17">
    <cfRule type="cellIs" dxfId="132" priority="18" stopIfTrue="1" operator="equal">
      <formula>0</formula>
    </cfRule>
  </conditionalFormatting>
  <conditionalFormatting sqref="N20:N43 M16:M43 O16:O43 N16 M35:N35">
    <cfRule type="expression" dxfId="131" priority="16">
      <formula>MOD(ROW(),2)=0</formula>
    </cfRule>
  </conditionalFormatting>
  <conditionalFormatting sqref="I18:I29 I31:I34 J16:K43">
    <cfRule type="cellIs" dxfId="130" priority="15" operator="equal">
      <formula>0</formula>
    </cfRule>
  </conditionalFormatting>
  <conditionalFormatting sqref="V16:V43">
    <cfRule type="cellIs" dxfId="129" priority="5" operator="greaterThan">
      <formula>0</formula>
    </cfRule>
  </conditionalFormatting>
  <conditionalFormatting sqref="E24">
    <cfRule type="cellIs" dxfId="128" priority="1" operator="notEqual">
      <formula>"GC 76000 PA ($" &amp;O11&amp;"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69" t="s">
        <v>268</v>
      </c>
      <c r="B1" s="1670"/>
      <c r="C1" s="1670"/>
      <c r="D1" s="1670"/>
      <c r="E1" s="1670"/>
      <c r="F1" s="1670"/>
      <c r="G1" s="1670"/>
      <c r="H1" s="1670"/>
      <c r="I1" s="1670"/>
      <c r="J1" s="1670"/>
      <c r="K1" s="1670"/>
      <c r="L1" s="1670"/>
      <c r="M1" s="1670"/>
      <c r="N1" s="1667"/>
      <c r="O1" s="1667"/>
      <c r="P1" s="1667"/>
      <c r="Q1" s="1667"/>
      <c r="R1" s="1667"/>
      <c r="S1" s="1667"/>
      <c r="T1" s="1667"/>
      <c r="U1" s="1667"/>
      <c r="V1" s="1667"/>
      <c r="W1" s="1667"/>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675" t="s">
        <v>234</v>
      </c>
      <c r="B3" s="1676"/>
      <c r="C3" s="1676"/>
      <c r="D3" s="1676"/>
      <c r="E3" s="1676"/>
      <c r="F3" s="1676"/>
      <c r="G3" s="1676"/>
      <c r="H3" s="1676"/>
      <c r="I3" s="1676"/>
      <c r="J3" s="1676"/>
      <c r="K3" s="1676"/>
      <c r="L3" s="1676"/>
      <c r="M3" s="1676"/>
      <c r="N3" s="1676"/>
      <c r="O3" s="1676"/>
      <c r="P3" s="1676"/>
      <c r="Q3" s="1677"/>
      <c r="R3" s="237"/>
      <c r="S3" s="1792" t="s">
        <v>261</v>
      </c>
      <c r="T3" s="1793"/>
      <c r="U3" s="1793"/>
      <c r="V3" s="1793"/>
      <c r="W3" s="1793"/>
      <c r="X3" s="1793"/>
      <c r="Y3" s="1794"/>
      <c r="AA3" s="174" t="s">
        <v>250</v>
      </c>
      <c r="AB3" s="132"/>
    </row>
    <row r="4" spans="1:30" s="57" customFormat="1" ht="15.75" x14ac:dyDescent="0.2">
      <c r="A4" s="1379" t="s">
        <v>231</v>
      </c>
      <c r="B4" s="1380"/>
      <c r="C4" s="1380"/>
      <c r="D4" s="1335">
        <f>N1</f>
        <v>0</v>
      </c>
      <c r="E4" s="1336"/>
      <c r="F4" s="1808" t="s">
        <v>28</v>
      </c>
      <c r="G4" s="1537"/>
      <c r="H4" s="1537"/>
      <c r="I4" s="1538"/>
      <c r="J4" s="1540"/>
      <c r="K4" s="1540"/>
      <c r="L4" s="1540"/>
      <c r="M4" s="1540"/>
      <c r="N4" s="1541"/>
      <c r="O4" s="1383" t="s">
        <v>257</v>
      </c>
      <c r="P4" s="1383"/>
      <c r="Q4" s="209"/>
      <c r="R4" s="238"/>
      <c r="S4" s="1796" t="s">
        <v>236</v>
      </c>
      <c r="T4" s="1797"/>
      <c r="U4" s="1797"/>
      <c r="V4" s="1797"/>
      <c r="W4" s="1797"/>
      <c r="X4" s="1797"/>
      <c r="Y4" s="1798"/>
      <c r="AA4" s="271" t="s">
        <v>308</v>
      </c>
      <c r="AB4" s="269" t="s">
        <v>309</v>
      </c>
      <c r="AC4" s="269" t="s">
        <v>310</v>
      </c>
    </row>
    <row r="5" spans="1:30" s="57" customFormat="1" ht="15.75" x14ac:dyDescent="0.2">
      <c r="A5" s="1384" t="s">
        <v>4</v>
      </c>
      <c r="B5" s="1385"/>
      <c r="C5" s="1385"/>
      <c r="D5" s="1289"/>
      <c r="E5" s="1283"/>
      <c r="F5" s="1291" t="s">
        <v>244</v>
      </c>
      <c r="G5" s="1388"/>
      <c r="H5" s="1388"/>
      <c r="I5" s="1278"/>
      <c r="J5" s="1292"/>
      <c r="K5" s="1292"/>
      <c r="L5" s="1292"/>
      <c r="M5" s="1292"/>
      <c r="N5" s="1293"/>
      <c r="O5" s="1388" t="s">
        <v>22</v>
      </c>
      <c r="P5" s="1388"/>
      <c r="Q5" s="58"/>
      <c r="R5" s="238"/>
      <c r="S5" s="1789" t="s">
        <v>302</v>
      </c>
      <c r="T5" s="1790"/>
      <c r="U5" s="1790"/>
      <c r="V5" s="1790"/>
      <c r="W5" s="1790"/>
      <c r="X5" s="1790"/>
      <c r="Y5" s="1791"/>
      <c r="AA5" s="172" t="s">
        <v>31</v>
      </c>
      <c r="AB5" s="176">
        <f>SUMIF($G$16:$G$41,"STATE",$M$16:$M$41)</f>
        <v>77.823999999999998</v>
      </c>
      <c r="AC5" s="176">
        <f>SUMIF($G$16:$G$41,"STATE",$U$16:$U$41)</f>
        <v>0</v>
      </c>
    </row>
    <row r="6" spans="1:30" s="57" customFormat="1" ht="16.5" thickBot="1" x14ac:dyDescent="0.25">
      <c r="A6" s="1384" t="s">
        <v>12</v>
      </c>
      <c r="B6" s="1385"/>
      <c r="C6" s="1385"/>
      <c r="D6" s="1289"/>
      <c r="E6" s="1283"/>
      <c r="F6" s="1291" t="s">
        <v>20</v>
      </c>
      <c r="G6" s="1388"/>
      <c r="H6" s="1388"/>
      <c r="I6" s="1278"/>
      <c r="J6" s="1292" t="s">
        <v>317</v>
      </c>
      <c r="K6" s="1292"/>
      <c r="L6" s="1292"/>
      <c r="M6" s="1292"/>
      <c r="N6" s="1293"/>
      <c r="O6" s="1389" t="s">
        <v>233</v>
      </c>
      <c r="P6" s="1389"/>
      <c r="Q6" s="212">
        <f>Q4+Q5*10</f>
        <v>0</v>
      </c>
      <c r="R6" s="238"/>
      <c r="S6" s="1786" t="s">
        <v>573</v>
      </c>
      <c r="T6" s="1787"/>
      <c r="U6" s="1787"/>
      <c r="V6" s="1787"/>
      <c r="W6" s="1787"/>
      <c r="X6" s="1787"/>
      <c r="Y6" s="1788"/>
      <c r="AA6" s="172" t="s">
        <v>32</v>
      </c>
      <c r="AB6" s="176">
        <f>SUMIF($G$16:$G$41,"COUNTY",$M$16:$M$41)</f>
        <v>1.1759999999999999</v>
      </c>
      <c r="AC6" s="176">
        <f>SUMIF($G$16:$G$41,"COUNTY",$U$16:$U$41)</f>
        <v>0</v>
      </c>
    </row>
    <row r="7" spans="1:30" s="57" customFormat="1" ht="16.5" thickBot="1" x14ac:dyDescent="0.25">
      <c r="A7" s="1384" t="s">
        <v>5</v>
      </c>
      <c r="B7" s="1385"/>
      <c r="C7" s="1385"/>
      <c r="D7" s="1282"/>
      <c r="E7" s="1283"/>
      <c r="F7" s="1811" t="s">
        <v>21</v>
      </c>
      <c r="G7" s="1543"/>
      <c r="H7" s="1543"/>
      <c r="I7" s="1544"/>
      <c r="J7" s="1810" t="s">
        <v>3</v>
      </c>
      <c r="K7" s="1810"/>
      <c r="L7" s="1810"/>
      <c r="M7" s="1810"/>
      <c r="N7" s="1674"/>
      <c r="O7" s="235"/>
      <c r="P7" s="242"/>
      <c r="Q7" s="236"/>
      <c r="R7" s="238"/>
      <c r="S7" s="1778" t="s">
        <v>235</v>
      </c>
      <c r="T7" s="1779"/>
      <c r="U7" s="1779"/>
      <c r="V7" s="1779"/>
      <c r="W7" s="1779"/>
      <c r="X7" s="1779"/>
      <c r="Y7" s="1780"/>
      <c r="AA7" s="172" t="s">
        <v>52</v>
      </c>
      <c r="AB7" s="176">
        <f>SUMIF($G$16:$G$41,"CITY",$M$16:$M$41)</f>
        <v>0</v>
      </c>
      <c r="AC7" s="176">
        <f>SUMIF($G$16:$G$41,"CITY",$U$16:$U$41)</f>
        <v>0</v>
      </c>
    </row>
    <row r="8" spans="1:30" s="57" customFormat="1" ht="15.75" customHeight="1" x14ac:dyDescent="0.2">
      <c r="A8" s="1394" t="s">
        <v>54</v>
      </c>
      <c r="B8" s="1395"/>
      <c r="C8" s="1395"/>
      <c r="D8" s="1781">
        <v>1</v>
      </c>
      <c r="E8" s="1809"/>
      <c r="F8" s="1332" t="s">
        <v>253</v>
      </c>
      <c r="G8" s="1333"/>
      <c r="H8" s="1333"/>
      <c r="I8" s="1334"/>
      <c r="J8" s="1540"/>
      <c r="K8" s="1540"/>
      <c r="L8" s="1540"/>
      <c r="M8" s="1540"/>
      <c r="N8" s="1541"/>
      <c r="O8" s="1333" t="s">
        <v>257</v>
      </c>
      <c r="P8" s="1333"/>
      <c r="Q8" s="55">
        <v>0</v>
      </c>
      <c r="R8" s="239"/>
      <c r="S8" s="1772" t="s">
        <v>303</v>
      </c>
      <c r="T8" s="1726"/>
      <c r="U8" s="1726"/>
      <c r="V8" s="1726"/>
      <c r="W8" s="1726"/>
      <c r="X8" s="1726"/>
      <c r="Y8" s="1773"/>
      <c r="AA8" s="172" t="s">
        <v>230</v>
      </c>
      <c r="AB8" s="176">
        <f>SUMIF($G$16:$G$41,"COURT",$M$16:$M$41)</f>
        <v>0</v>
      </c>
      <c r="AC8" s="176">
        <f>SUMIF($G$16:$G$41,"COURT",$U$16:$U$41)</f>
        <v>0</v>
      </c>
    </row>
    <row r="9" spans="1:30" s="57" customFormat="1" ht="18" customHeight="1" thickBot="1" x14ac:dyDescent="0.25">
      <c r="A9" s="1402" t="s">
        <v>53</v>
      </c>
      <c r="B9" s="1403"/>
      <c r="C9" s="1403"/>
      <c r="D9" s="1404">
        <f>100%-D8</f>
        <v>0</v>
      </c>
      <c r="E9" s="1405"/>
      <c r="F9" s="1291" t="s">
        <v>244</v>
      </c>
      <c r="G9" s="1388"/>
      <c r="H9" s="1388"/>
      <c r="I9" s="1278"/>
      <c r="J9" s="1292"/>
      <c r="K9" s="1292"/>
      <c r="L9" s="1292"/>
      <c r="M9" s="1292"/>
      <c r="N9" s="1293"/>
      <c r="O9" s="1387" t="s">
        <v>22</v>
      </c>
      <c r="P9" s="1387"/>
      <c r="Q9" s="58"/>
      <c r="R9" s="239"/>
      <c r="S9" s="1774"/>
      <c r="T9" s="1729"/>
      <c r="U9" s="1729"/>
      <c r="V9" s="1729"/>
      <c r="W9" s="1729"/>
      <c r="X9" s="1729"/>
      <c r="Y9" s="1775"/>
      <c r="AA9" s="153" t="s">
        <v>446</v>
      </c>
      <c r="AB9" s="176">
        <f>SUMIF($G$16:$G$41,"CNTY or CTY",$M$16:$M$41)</f>
        <v>0</v>
      </c>
      <c r="AC9" s="176">
        <f>SUMIF($G$16:$G$41,"CNTY or CTY",$U$16:$U$41)</f>
        <v>0</v>
      </c>
    </row>
    <row r="10" spans="1:30" s="57" customFormat="1" ht="16.5" customHeight="1" thickBot="1" x14ac:dyDescent="0.25">
      <c r="A10" s="1436" t="s">
        <v>276</v>
      </c>
      <c r="B10" s="1437"/>
      <c r="C10" s="1437"/>
      <c r="D10" s="1651">
        <f>Q6+Q10</f>
        <v>0</v>
      </c>
      <c r="E10" s="1652"/>
      <c r="F10" s="1291" t="s">
        <v>20</v>
      </c>
      <c r="G10" s="1388"/>
      <c r="H10" s="1388"/>
      <c r="I10" s="1278"/>
      <c r="J10" s="1292"/>
      <c r="K10" s="1292"/>
      <c r="L10" s="1292"/>
      <c r="M10" s="1292"/>
      <c r="N10" s="1293"/>
      <c r="O10" s="1387" t="s">
        <v>233</v>
      </c>
      <c r="P10" s="1387"/>
      <c r="Q10" s="788">
        <f>Q8+Q9*10</f>
        <v>0</v>
      </c>
      <c r="R10" s="240"/>
      <c r="S10" s="1769" t="s">
        <v>239</v>
      </c>
      <c r="T10" s="1770"/>
      <c r="U10" s="1770"/>
      <c r="V10" s="1770"/>
      <c r="W10" s="1770"/>
      <c r="X10" s="1770"/>
      <c r="Y10" s="1771"/>
      <c r="AA10" s="264" t="s">
        <v>246</v>
      </c>
      <c r="AB10" s="148">
        <f>SUM(AB5:AB9)</f>
        <v>79</v>
      </c>
      <c r="AC10" s="148">
        <f>SUM(AC5:AC9)</f>
        <v>0</v>
      </c>
    </row>
    <row r="11" spans="1:30" s="57" customFormat="1" ht="16.5" customHeight="1" thickBot="1" x14ac:dyDescent="0.25">
      <c r="A11" s="1439" t="s">
        <v>277</v>
      </c>
      <c r="B11" s="1440"/>
      <c r="C11" s="1440"/>
      <c r="D11" s="1649">
        <f>ROUNDUP(D10/10,0)</f>
        <v>0</v>
      </c>
      <c r="E11" s="1650"/>
      <c r="F11" s="1284" t="s">
        <v>21</v>
      </c>
      <c r="G11" s="1553"/>
      <c r="H11" s="1553"/>
      <c r="I11" s="1285"/>
      <c r="J11" s="1286"/>
      <c r="K11" s="1287"/>
      <c r="L11" s="1287"/>
      <c r="M11" s="1287"/>
      <c r="N11" s="1287"/>
      <c r="O11" s="1807" t="s">
        <v>568</v>
      </c>
      <c r="P11" s="1555"/>
      <c r="Q11" s="787">
        <f>'1-DUI (Reduce Base)'!P11</f>
        <v>5</v>
      </c>
      <c r="R11" s="240"/>
      <c r="S11" s="1755" t="s">
        <v>430</v>
      </c>
      <c r="T11" s="1756"/>
      <c r="U11" s="1756"/>
      <c r="V11" s="1756"/>
      <c r="W11" s="1756"/>
      <c r="X11" s="1756"/>
      <c r="Y11" s="1757"/>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758" t="s">
        <v>297</v>
      </c>
      <c r="L13" s="1759"/>
      <c r="M13" s="1759"/>
      <c r="N13" s="110"/>
      <c r="O13" s="1761" t="s">
        <v>229</v>
      </c>
      <c r="P13" s="1762"/>
      <c r="Q13" s="1763"/>
      <c r="R13" s="111"/>
      <c r="S13" s="1764" t="s">
        <v>295</v>
      </c>
      <c r="T13" s="1765"/>
      <c r="U13" s="1766"/>
      <c r="V13" s="226"/>
      <c r="W13" s="158"/>
      <c r="X13" s="158"/>
      <c r="Y13" s="159"/>
      <c r="Z13" s="108"/>
      <c r="AA13" s="108"/>
      <c r="AB13" s="108"/>
      <c r="AC13" s="108"/>
      <c r="AD13" s="108"/>
    </row>
    <row r="14" spans="1:30" ht="44.25" customHeight="1" thickBot="1" x14ac:dyDescent="0.25">
      <c r="A14" s="112">
        <v>0.02</v>
      </c>
      <c r="B14" s="112" t="s">
        <v>58</v>
      </c>
      <c r="C14" s="1364" t="s">
        <v>226</v>
      </c>
      <c r="D14" s="1365"/>
      <c r="E14" s="1365"/>
      <c r="F14" s="1366"/>
      <c r="G14" s="113" t="s">
        <v>249</v>
      </c>
      <c r="H14" s="114" t="s">
        <v>0</v>
      </c>
      <c r="I14" s="1805" t="s">
        <v>298</v>
      </c>
      <c r="J14" s="1803" t="s">
        <v>270</v>
      </c>
      <c r="K14" s="1805" t="s">
        <v>315</v>
      </c>
      <c r="L14" s="1747" t="s">
        <v>6</v>
      </c>
      <c r="M14" s="234" t="s">
        <v>299</v>
      </c>
      <c r="N14" s="67"/>
      <c r="O14" s="1716" t="s">
        <v>260</v>
      </c>
      <c r="P14" s="1717"/>
      <c r="Q14" s="120" t="s">
        <v>248</v>
      </c>
      <c r="R14" s="121"/>
      <c r="S14" s="690" t="s">
        <v>428</v>
      </c>
      <c r="T14" s="1747" t="s">
        <v>6</v>
      </c>
      <c r="U14" s="234" t="s">
        <v>299</v>
      </c>
      <c r="V14" s="228"/>
      <c r="W14" s="265" t="s">
        <v>256</v>
      </c>
      <c r="X14" s="1749" t="s">
        <v>61</v>
      </c>
      <c r="Y14" s="1751" t="s">
        <v>384</v>
      </c>
    </row>
    <row r="15" spans="1:30" ht="30.75" customHeight="1" thickBot="1" x14ac:dyDescent="0.25">
      <c r="A15" s="115"/>
      <c r="B15" s="115"/>
      <c r="C15" s="1367"/>
      <c r="D15" s="1368"/>
      <c r="E15" s="1368"/>
      <c r="F15" s="1369"/>
      <c r="G15" s="116"/>
      <c r="H15" s="116"/>
      <c r="I15" s="1806"/>
      <c r="J15" s="1804"/>
      <c r="K15" s="1806"/>
      <c r="L15" s="1748"/>
      <c r="M15" s="244" t="s">
        <v>42</v>
      </c>
      <c r="N15" s="68"/>
      <c r="O15" s="1714"/>
      <c r="P15" s="1715"/>
      <c r="Q15" s="245" t="s">
        <v>43</v>
      </c>
      <c r="R15" s="121"/>
      <c r="S15" s="246">
        <f>(S35-S31)/(I35-S31)</f>
        <v>0</v>
      </c>
      <c r="T15" s="1748"/>
      <c r="U15" s="244" t="s">
        <v>44</v>
      </c>
      <c r="V15" s="228"/>
      <c r="W15" s="298" t="s">
        <v>300</v>
      </c>
      <c r="X15" s="1750"/>
      <c r="Y15" s="1752"/>
    </row>
    <row r="16" spans="1:30" s="74" customFormat="1" ht="15.75" hidden="1" customHeight="1" thickTop="1" x14ac:dyDescent="0.2">
      <c r="A16" s="69" t="s">
        <v>8</v>
      </c>
      <c r="B16" s="195"/>
      <c r="C16" s="1692"/>
      <c r="D16" s="1692"/>
      <c r="E16" s="1692"/>
      <c r="F16" s="1692"/>
      <c r="G16" s="70"/>
      <c r="H16" s="71"/>
      <c r="I16" s="154"/>
      <c r="J16" s="162"/>
      <c r="K16" s="162"/>
      <c r="L16" s="162"/>
      <c r="M16" s="198"/>
      <c r="N16" s="164"/>
      <c r="O16" s="1731"/>
      <c r="P16" s="173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665"/>
      <c r="D17" s="1700"/>
      <c r="E17" s="1700"/>
      <c r="F17" s="1701"/>
      <c r="G17" s="76"/>
      <c r="H17" s="77"/>
      <c r="I17" s="156"/>
      <c r="J17" s="162"/>
      <c r="K17" s="162"/>
      <c r="L17" s="162"/>
      <c r="M17" s="167"/>
      <c r="N17" s="164"/>
      <c r="O17" s="1665"/>
      <c r="P17" s="1666"/>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692" t="s">
        <v>267</v>
      </c>
      <c r="D18" s="1692"/>
      <c r="E18" s="1692"/>
      <c r="F18" s="1692"/>
      <c r="G18" s="701" t="str">
        <f>IF(D9=0,"COUNTY","CITY")</f>
        <v>COUNTY</v>
      </c>
      <c r="H18" s="77" t="s">
        <v>51</v>
      </c>
      <c r="I18" s="156"/>
      <c r="J18" s="162"/>
      <c r="K18" s="162">
        <f>J42</f>
        <v>1.2</v>
      </c>
      <c r="L18" s="162">
        <f t="shared" ref="L18:L24" si="0">IF(A18="Y", K18*2%,0)</f>
        <v>2.4E-2</v>
      </c>
      <c r="M18" s="167">
        <f t="shared" ref="M18:M24" si="1">K18-L18</f>
        <v>1.1759999999999999</v>
      </c>
      <c r="N18" s="164"/>
      <c r="O18" s="1665"/>
      <c r="P18" s="1666"/>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801" t="s">
        <v>241</v>
      </c>
      <c r="C19" s="1659" t="s">
        <v>212</v>
      </c>
      <c r="D19" s="1659"/>
      <c r="E19" s="1659"/>
      <c r="F19" s="1659"/>
      <c r="G19" s="694" t="s">
        <v>32</v>
      </c>
      <c r="H19" s="77" t="s">
        <v>27</v>
      </c>
      <c r="I19" s="155">
        <f>(D10-SUM(I16:I18))*D8</f>
        <v>0</v>
      </c>
      <c r="J19" s="162">
        <f>I19*30%</f>
        <v>0</v>
      </c>
      <c r="K19" s="162">
        <f t="shared" ref="K19:K24" si="6">I19-J19</f>
        <v>0</v>
      </c>
      <c r="L19" s="162">
        <f t="shared" si="0"/>
        <v>0</v>
      </c>
      <c r="M19" s="167">
        <f t="shared" si="1"/>
        <v>0</v>
      </c>
      <c r="N19" s="164"/>
      <c r="O19" s="1665"/>
      <c r="P19" s="1666"/>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802"/>
      <c r="C20" s="1659" t="s">
        <v>213</v>
      </c>
      <c r="D20" s="1659"/>
      <c r="E20" s="1659"/>
      <c r="F20" s="1659"/>
      <c r="G20" s="694" t="s">
        <v>52</v>
      </c>
      <c r="H20" s="77" t="s">
        <v>25</v>
      </c>
      <c r="I20" s="155">
        <f>(D10-SUM(I16:I18))*D9</f>
        <v>0</v>
      </c>
      <c r="J20" s="162">
        <f>I20*30%</f>
        <v>0</v>
      </c>
      <c r="K20" s="162">
        <f t="shared" si="6"/>
        <v>0</v>
      </c>
      <c r="L20" s="162">
        <f t="shared" si="0"/>
        <v>0</v>
      </c>
      <c r="M20" s="167">
        <f t="shared" si="1"/>
        <v>0</v>
      </c>
      <c r="N20" s="164"/>
      <c r="O20" s="1665"/>
      <c r="P20" s="1666"/>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659" t="s">
        <v>546</v>
      </c>
      <c r="D21" s="1659"/>
      <c r="E21" s="1659"/>
      <c r="F21" s="1659"/>
      <c r="G21" s="694" t="s">
        <v>31</v>
      </c>
      <c r="H21" s="77" t="s">
        <v>26</v>
      </c>
      <c r="I21" s="155">
        <f>$D$11*B21</f>
        <v>0</v>
      </c>
      <c r="J21" s="162">
        <f>I21*30%</f>
        <v>0</v>
      </c>
      <c r="K21" s="162">
        <f t="shared" si="6"/>
        <v>0</v>
      </c>
      <c r="L21" s="162">
        <f t="shared" si="0"/>
        <v>0</v>
      </c>
      <c r="M21" s="167">
        <f t="shared" si="1"/>
        <v>0</v>
      </c>
      <c r="N21" s="164"/>
      <c r="O21" s="1665"/>
      <c r="P21" s="1666"/>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659" t="s">
        <v>547</v>
      </c>
      <c r="D22" s="1659"/>
      <c r="E22" s="1659"/>
      <c r="F22" s="1659"/>
      <c r="G22" s="694" t="s">
        <v>32</v>
      </c>
      <c r="H22" s="77" t="s">
        <v>27</v>
      </c>
      <c r="I22" s="155">
        <f>$D$11*B22</f>
        <v>0</v>
      </c>
      <c r="J22" s="162">
        <f>I22*30%</f>
        <v>0</v>
      </c>
      <c r="K22" s="162">
        <f t="shared" si="6"/>
        <v>0</v>
      </c>
      <c r="L22" s="162">
        <f t="shared" si="0"/>
        <v>0</v>
      </c>
      <c r="M22" s="167">
        <f t="shared" si="1"/>
        <v>0</v>
      </c>
      <c r="N22" s="164"/>
      <c r="O22" s="1665"/>
      <c r="P22" s="1666"/>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665" t="s">
        <v>216</v>
      </c>
      <c r="D23" s="1700"/>
      <c r="E23" s="1700"/>
      <c r="F23" s="1701"/>
      <c r="G23" s="694" t="s">
        <v>32</v>
      </c>
      <c r="H23" s="77" t="s">
        <v>55</v>
      </c>
      <c r="I23" s="155">
        <f>$D$11*B23</f>
        <v>0</v>
      </c>
      <c r="J23" s="162"/>
      <c r="K23" s="162">
        <f t="shared" si="6"/>
        <v>0</v>
      </c>
      <c r="L23" s="162">
        <f t="shared" si="0"/>
        <v>0</v>
      </c>
      <c r="M23" s="167">
        <f t="shared" si="1"/>
        <v>0</v>
      </c>
      <c r="N23" s="164"/>
      <c r="O23" s="1665"/>
      <c r="P23" s="1666"/>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665" t="s">
        <v>466</v>
      </c>
      <c r="D24" s="1700"/>
      <c r="E24" s="1700"/>
      <c r="F24" s="1701"/>
      <c r="G24" s="694" t="s">
        <v>31</v>
      </c>
      <c r="H24" s="77" t="s">
        <v>72</v>
      </c>
      <c r="I24" s="155">
        <f>$D$11*B24</f>
        <v>0</v>
      </c>
      <c r="J24" s="162"/>
      <c r="K24" s="162">
        <f t="shared" si="6"/>
        <v>0</v>
      </c>
      <c r="L24" s="162">
        <f t="shared" si="0"/>
        <v>0</v>
      </c>
      <c r="M24" s="167">
        <f t="shared" si="1"/>
        <v>0</v>
      </c>
      <c r="N24" s="164"/>
      <c r="O24" s="1665"/>
      <c r="P24" s="1666"/>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659" t="s">
        <v>217</v>
      </c>
      <c r="D25" s="1659"/>
      <c r="E25" s="1739" t="str">
        <f>IF(SUM(B25:B29)=Q11,"GC 76000 PA ($" &amp;Q11 &amp; " for every 10) breakdown per local board of supervisor resolution (BOS).","ERROR! GC 76000 PA total is not $" &amp;Q11&amp; ". Check Court's board resolution.")</f>
        <v>ERROR! GC 76000 PA total is not $5. Check Court's board resolution.</v>
      </c>
      <c r="F25" s="1740"/>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665"/>
      <c r="P25" s="1666"/>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659" t="s">
        <v>218</v>
      </c>
      <c r="D26" s="1659"/>
      <c r="E26" s="1741"/>
      <c r="F26" s="1742"/>
      <c r="G26" s="694" t="s">
        <v>32</v>
      </c>
      <c r="H26" s="77" t="s">
        <v>35</v>
      </c>
      <c r="I26" s="155">
        <f t="shared" si="7"/>
        <v>0</v>
      </c>
      <c r="J26" s="162">
        <f>I26*30%</f>
        <v>0</v>
      </c>
      <c r="K26" s="162">
        <f t="shared" si="8"/>
        <v>0</v>
      </c>
      <c r="L26" s="162">
        <f t="shared" si="9"/>
        <v>0</v>
      </c>
      <c r="M26" s="167">
        <f t="shared" si="10"/>
        <v>0</v>
      </c>
      <c r="N26" s="164"/>
      <c r="O26" s="1665"/>
      <c r="P26" s="1666"/>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659" t="s">
        <v>219</v>
      </c>
      <c r="D27" s="1659"/>
      <c r="E27" s="1741"/>
      <c r="F27" s="1742"/>
      <c r="G27" s="694" t="s">
        <v>32</v>
      </c>
      <c r="H27" s="77" t="s">
        <v>65</v>
      </c>
      <c r="I27" s="155">
        <f t="shared" si="7"/>
        <v>0</v>
      </c>
      <c r="J27" s="162">
        <f>I27*30%</f>
        <v>0</v>
      </c>
      <c r="K27" s="162">
        <f t="shared" si="8"/>
        <v>0</v>
      </c>
      <c r="L27" s="162">
        <f t="shared" si="9"/>
        <v>0</v>
      </c>
      <c r="M27" s="167">
        <f t="shared" si="10"/>
        <v>0</v>
      </c>
      <c r="N27" s="164"/>
      <c r="O27" s="1665"/>
      <c r="P27" s="1666"/>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659" t="s">
        <v>401</v>
      </c>
      <c r="D28" s="1659"/>
      <c r="E28" s="1741"/>
      <c r="F28" s="1742"/>
      <c r="G28" s="694" t="s">
        <v>32</v>
      </c>
      <c r="H28" s="77"/>
      <c r="I28" s="155">
        <f t="shared" si="7"/>
        <v>0</v>
      </c>
      <c r="J28" s="162">
        <f>I28*30%</f>
        <v>0</v>
      </c>
      <c r="K28" s="162">
        <f t="shared" si="8"/>
        <v>0</v>
      </c>
      <c r="L28" s="162">
        <f t="shared" si="9"/>
        <v>0</v>
      </c>
      <c r="M28" s="167">
        <f t="shared" si="10"/>
        <v>0</v>
      </c>
      <c r="N28" s="164"/>
      <c r="O28" s="1665"/>
      <c r="P28" s="1666"/>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659" t="s">
        <v>254</v>
      </c>
      <c r="D29" s="1659"/>
      <c r="E29" s="1743"/>
      <c r="F29" s="1744"/>
      <c r="G29" s="694" t="s">
        <v>32</v>
      </c>
      <c r="H29" s="77"/>
      <c r="I29" s="155">
        <f t="shared" si="7"/>
        <v>0</v>
      </c>
      <c r="J29" s="162">
        <f>I29*30%</f>
        <v>0</v>
      </c>
      <c r="K29" s="162">
        <f t="shared" si="8"/>
        <v>0</v>
      </c>
      <c r="L29" s="162">
        <f t="shared" si="9"/>
        <v>0</v>
      </c>
      <c r="M29" s="167">
        <f t="shared" si="10"/>
        <v>0</v>
      </c>
      <c r="N29" s="164"/>
      <c r="O29" s="1665"/>
      <c r="P29" s="1666"/>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449" t="s">
        <v>286</v>
      </c>
      <c r="D30" s="1459"/>
      <c r="E30" s="1459"/>
      <c r="F30" s="1460"/>
      <c r="G30" s="702" t="s">
        <v>32</v>
      </c>
      <c r="H30" s="84" t="s">
        <v>36</v>
      </c>
      <c r="I30" s="155">
        <f t="shared" si="7"/>
        <v>0</v>
      </c>
      <c r="J30" s="162"/>
      <c r="K30" s="162">
        <f t="shared" si="8"/>
        <v>0</v>
      </c>
      <c r="L30" s="162">
        <f t="shared" si="9"/>
        <v>0</v>
      </c>
      <c r="M30" s="167">
        <f t="shared" si="10"/>
        <v>0</v>
      </c>
      <c r="N30" s="164"/>
      <c r="O30" s="1665"/>
      <c r="P30" s="1666"/>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49" t="s">
        <v>385</v>
      </c>
      <c r="D31" s="1459"/>
      <c r="E31" s="1459"/>
      <c r="F31" s="1460"/>
      <c r="G31" s="702" t="s">
        <v>31</v>
      </c>
      <c r="H31" s="91" t="s">
        <v>39</v>
      </c>
      <c r="I31" s="204">
        <v>4</v>
      </c>
      <c r="J31" s="162">
        <f>I31*30%</f>
        <v>1.2</v>
      </c>
      <c r="K31" s="162">
        <f>I31-J31</f>
        <v>2.8</v>
      </c>
      <c r="L31" s="162">
        <f>IF(A31="Y", K31*2%,0)</f>
        <v>5.5999999999999994E-2</v>
      </c>
      <c r="M31" s="167">
        <f>K31-L31</f>
        <v>2.7439999999999998</v>
      </c>
      <c r="N31" s="164"/>
      <c r="O31" s="1665"/>
      <c r="P31" s="1666"/>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449" t="s">
        <v>555</v>
      </c>
      <c r="D32" s="1459"/>
      <c r="E32" s="1460"/>
      <c r="F32" s="1591" t="s">
        <v>281</v>
      </c>
      <c r="G32" s="702" t="s">
        <v>31</v>
      </c>
      <c r="H32" s="84" t="s">
        <v>37</v>
      </c>
      <c r="I32" s="155">
        <f>$D$11*B32</f>
        <v>0</v>
      </c>
      <c r="J32" s="162">
        <f>I32*30%</f>
        <v>0</v>
      </c>
      <c r="K32" s="162">
        <f>I32-J32</f>
        <v>0</v>
      </c>
      <c r="L32" s="162">
        <f>IF(A32="Y", K32*2%,0)</f>
        <v>0</v>
      </c>
      <c r="M32" s="167">
        <f>K32-L32</f>
        <v>0</v>
      </c>
      <c r="N32" s="164"/>
      <c r="O32" s="1665"/>
      <c r="P32" s="1666"/>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49" t="s">
        <v>556</v>
      </c>
      <c r="D33" s="1459"/>
      <c r="E33" s="1460"/>
      <c r="F33" s="1592"/>
      <c r="G33" s="702" t="s">
        <v>31</v>
      </c>
      <c r="H33" s="84" t="s">
        <v>197</v>
      </c>
      <c r="I33" s="155">
        <f>$D$11*B33</f>
        <v>0</v>
      </c>
      <c r="J33" s="162">
        <f>I33*30%</f>
        <v>0</v>
      </c>
      <c r="K33" s="162">
        <f>I33-J33</f>
        <v>0</v>
      </c>
      <c r="L33" s="162">
        <f>IF(A33="Y", K33*2%,0)</f>
        <v>0</v>
      </c>
      <c r="M33" s="167">
        <f>K33-L33</f>
        <v>0</v>
      </c>
      <c r="N33" s="164"/>
      <c r="O33" s="1665"/>
      <c r="P33" s="1666"/>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49" t="s">
        <v>220</v>
      </c>
      <c r="D34" s="1459"/>
      <c r="E34" s="1459"/>
      <c r="F34" s="1460"/>
      <c r="G34" s="702" t="s">
        <v>31</v>
      </c>
      <c r="H34" s="84" t="s">
        <v>10</v>
      </c>
      <c r="I34" s="155">
        <f>$D$10*20%</f>
        <v>0</v>
      </c>
      <c r="J34" s="162"/>
      <c r="K34" s="162">
        <f>I34-J34</f>
        <v>0</v>
      </c>
      <c r="L34" s="162">
        <f>IF(A34="Y", K34*2%,0)</f>
        <v>0</v>
      </c>
      <c r="M34" s="167">
        <f>K34-L34</f>
        <v>0</v>
      </c>
      <c r="N34" s="164"/>
      <c r="O34" s="1665"/>
      <c r="P34" s="1666"/>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456" t="s">
        <v>221</v>
      </c>
      <c r="D35" s="1694"/>
      <c r="E35" s="1694"/>
      <c r="F35" s="1695"/>
      <c r="G35" s="703"/>
      <c r="H35" s="88"/>
      <c r="I35" s="157">
        <f>SUM(I16:I34)</f>
        <v>4</v>
      </c>
      <c r="J35" s="277"/>
      <c r="K35" s="277">
        <f>SUM(K18:K34)</f>
        <v>4</v>
      </c>
      <c r="L35" s="162"/>
      <c r="M35" s="168">
        <f>SUM(M16:M34)</f>
        <v>3.92</v>
      </c>
      <c r="N35" s="165"/>
      <c r="O35" s="1449"/>
      <c r="P35" s="1699"/>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449" t="s">
        <v>419</v>
      </c>
      <c r="D36" s="1459"/>
      <c r="E36" s="1459"/>
      <c r="F36" s="1460"/>
      <c r="G36" s="702" t="s">
        <v>31</v>
      </c>
      <c r="H36" s="91"/>
      <c r="I36" s="204">
        <v>40</v>
      </c>
      <c r="J36" s="162"/>
      <c r="K36" s="162">
        <f>I36</f>
        <v>40</v>
      </c>
      <c r="L36" s="162">
        <f>IF(A36="Y", I36*2%,0)</f>
        <v>0</v>
      </c>
      <c r="M36" s="167">
        <f t="shared" ref="M36:M40" si="11">I36-L36</f>
        <v>40</v>
      </c>
      <c r="N36" s="164"/>
      <c r="O36" s="1665"/>
      <c r="P36" s="1666"/>
      <c r="Q36" s="78"/>
      <c r="R36" s="72"/>
      <c r="S36" s="155">
        <f>IF($S$43=0,,I36)</f>
        <v>0</v>
      </c>
      <c r="T36" s="162">
        <f t="shared" ref="T36:T40" si="12">IF(A36="Y", S36*2%,)</f>
        <v>0</v>
      </c>
      <c r="U36" s="167">
        <f t="shared" ref="U36:U40" si="13">S36-T36</f>
        <v>0</v>
      </c>
      <c r="V36" s="229"/>
      <c r="W36" s="181">
        <f>IF($W$15="BASE-UP   (B-A)", Q36-M36,Q36-U36)</f>
        <v>-40</v>
      </c>
      <c r="X36" s="651"/>
      <c r="Y36" s="514"/>
      <c r="Z36" s="127"/>
      <c r="AA36" s="127"/>
      <c r="AB36" s="127"/>
      <c r="AC36" s="127"/>
      <c r="AD36" s="127"/>
    </row>
    <row r="37" spans="1:30" s="85" customFormat="1" ht="15.75" customHeight="1" x14ac:dyDescent="0.2">
      <c r="A37" s="69" t="s">
        <v>7</v>
      </c>
      <c r="B37" s="75"/>
      <c r="C37" s="1446" t="s">
        <v>259</v>
      </c>
      <c r="D37" s="1447"/>
      <c r="E37" s="1447"/>
      <c r="F37" s="1448"/>
      <c r="G37" s="704" t="s">
        <v>31</v>
      </c>
      <c r="H37" s="92" t="s">
        <v>197</v>
      </c>
      <c r="I37" s="204">
        <v>35</v>
      </c>
      <c r="J37" s="162"/>
      <c r="K37" s="162">
        <f t="shared" ref="K37:K40" si="14">I37</f>
        <v>35</v>
      </c>
      <c r="L37" s="162">
        <f t="shared" ref="L37:L40" si="15">IF(A37="Y", I37*2%,0)</f>
        <v>0</v>
      </c>
      <c r="M37" s="167">
        <f t="shared" si="11"/>
        <v>35</v>
      </c>
      <c r="N37" s="164"/>
      <c r="O37" s="1665"/>
      <c r="P37" s="1666"/>
      <c r="Q37" s="78"/>
      <c r="R37" s="72"/>
      <c r="S37" s="155">
        <f>IF($S$43=0,,I37)</f>
        <v>0</v>
      </c>
      <c r="T37" s="162">
        <f t="shared" si="12"/>
        <v>0</v>
      </c>
      <c r="U37" s="167">
        <f t="shared" si="13"/>
        <v>0</v>
      </c>
      <c r="V37" s="229"/>
      <c r="W37" s="181">
        <f>IF($W$15="BASE-UP   (B-A)", Q37-M37,Q37-U37)</f>
        <v>-35</v>
      </c>
      <c r="X37" s="651"/>
      <c r="Y37" s="513"/>
      <c r="Z37" s="127"/>
      <c r="AA37" s="127"/>
      <c r="AB37" s="127"/>
      <c r="AC37" s="127"/>
      <c r="AD37" s="127"/>
    </row>
    <row r="38" spans="1:30" s="74" customFormat="1" ht="15.75" customHeight="1" x14ac:dyDescent="0.2">
      <c r="A38" s="69" t="s">
        <v>7</v>
      </c>
      <c r="B38" s="94"/>
      <c r="C38" s="1446" t="s">
        <v>421</v>
      </c>
      <c r="D38" s="1447"/>
      <c r="E38" s="1447"/>
      <c r="F38" s="1448"/>
      <c r="G38" s="704" t="s">
        <v>230</v>
      </c>
      <c r="H38" s="92" t="s">
        <v>24</v>
      </c>
      <c r="I38" s="204"/>
      <c r="J38" s="162"/>
      <c r="K38" s="162">
        <f t="shared" si="14"/>
        <v>0</v>
      </c>
      <c r="L38" s="162">
        <f t="shared" si="15"/>
        <v>0</v>
      </c>
      <c r="M38" s="167">
        <f t="shared" si="11"/>
        <v>0</v>
      </c>
      <c r="N38" s="164"/>
      <c r="O38" s="1665"/>
      <c r="P38" s="1666"/>
      <c r="Q38" s="78"/>
      <c r="R38" s="72"/>
      <c r="S38" s="155">
        <f>IF($S$43=0,,I38)</f>
        <v>0</v>
      </c>
      <c r="T38" s="162">
        <f t="shared" si="12"/>
        <v>0</v>
      </c>
      <c r="U38" s="167">
        <f t="shared" si="13"/>
        <v>0</v>
      </c>
      <c r="V38" s="229"/>
      <c r="W38" s="181">
        <f t="shared" ref="W38:W41" si="16">IF($W$15="BASE-UP   (B-A)", Q38-M38,Q38-U38)</f>
        <v>0</v>
      </c>
      <c r="X38" s="651"/>
      <c r="Y38" s="513"/>
      <c r="Z38" s="125"/>
      <c r="AA38" s="125"/>
      <c r="AB38" s="125"/>
      <c r="AC38" s="125"/>
      <c r="AD38" s="125"/>
    </row>
    <row r="39" spans="1:30" s="74" customFormat="1" ht="47.25" customHeight="1" x14ac:dyDescent="0.2">
      <c r="A39" s="69" t="s">
        <v>7</v>
      </c>
      <c r="B39" s="94"/>
      <c r="C39" s="1449" t="s">
        <v>517</v>
      </c>
      <c r="D39" s="1459"/>
      <c r="E39" s="1459"/>
      <c r="F39" s="1460"/>
      <c r="G39" s="704" t="s">
        <v>230</v>
      </c>
      <c r="H39" s="92" t="s">
        <v>82</v>
      </c>
      <c r="I39" s="204"/>
      <c r="J39" s="162"/>
      <c r="K39" s="162">
        <f t="shared" si="14"/>
        <v>0</v>
      </c>
      <c r="L39" s="162">
        <f t="shared" si="15"/>
        <v>0</v>
      </c>
      <c r="M39" s="167">
        <f t="shared" si="11"/>
        <v>0</v>
      </c>
      <c r="N39" s="164"/>
      <c r="O39" s="1665"/>
      <c r="P39" s="1666"/>
      <c r="Q39" s="78"/>
      <c r="R39" s="72"/>
      <c r="S39" s="155">
        <f>IF($S$43=0,,I39)</f>
        <v>0</v>
      </c>
      <c r="T39" s="162">
        <f t="shared" si="12"/>
        <v>0</v>
      </c>
      <c r="U39" s="167">
        <f t="shared" si="13"/>
        <v>0</v>
      </c>
      <c r="V39" s="229"/>
      <c r="W39" s="181">
        <f t="shared" si="16"/>
        <v>0</v>
      </c>
      <c r="X39" s="651"/>
      <c r="Y39" s="513"/>
      <c r="Z39" s="125"/>
      <c r="AA39" s="125"/>
      <c r="AB39" s="125"/>
      <c r="AC39" s="125"/>
      <c r="AD39" s="125"/>
    </row>
    <row r="40" spans="1:30" s="74" customFormat="1" ht="15.75" customHeight="1" x14ac:dyDescent="0.2">
      <c r="A40" s="69" t="s">
        <v>7</v>
      </c>
      <c r="B40" s="94"/>
      <c r="C40" s="1446" t="s">
        <v>225</v>
      </c>
      <c r="D40" s="1447"/>
      <c r="E40" s="1447"/>
      <c r="F40" s="1448"/>
      <c r="G40" s="704" t="s">
        <v>31</v>
      </c>
      <c r="H40" s="92" t="s">
        <v>80</v>
      </c>
      <c r="I40" s="204"/>
      <c r="J40" s="162"/>
      <c r="K40" s="162">
        <f t="shared" si="14"/>
        <v>0</v>
      </c>
      <c r="L40" s="162">
        <f t="shared" si="15"/>
        <v>0</v>
      </c>
      <c r="M40" s="167">
        <f t="shared" si="11"/>
        <v>0</v>
      </c>
      <c r="N40" s="164"/>
      <c r="O40" s="1665"/>
      <c r="P40" s="1666"/>
      <c r="Q40" s="78"/>
      <c r="R40" s="72"/>
      <c r="S40" s="155">
        <f>IF($S$43=0,,I40)</f>
        <v>0</v>
      </c>
      <c r="T40" s="162">
        <f t="shared" si="12"/>
        <v>0</v>
      </c>
      <c r="U40" s="167">
        <f t="shared" si="13"/>
        <v>0</v>
      </c>
      <c r="V40" s="229"/>
      <c r="W40" s="181">
        <f t="shared" si="16"/>
        <v>0</v>
      </c>
      <c r="X40" s="651"/>
      <c r="Y40" s="513"/>
      <c r="Z40" s="125"/>
      <c r="AA40" s="125"/>
      <c r="AB40" s="125"/>
      <c r="AC40" s="125"/>
      <c r="AD40" s="125"/>
    </row>
    <row r="41" spans="1:30" s="74" customFormat="1" ht="31.5" customHeight="1" x14ac:dyDescent="0.2">
      <c r="A41" s="93" t="s">
        <v>7</v>
      </c>
      <c r="B41" s="94"/>
      <c r="C41" s="1665" t="s">
        <v>492</v>
      </c>
      <c r="D41" s="1700"/>
      <c r="E41" s="1700"/>
      <c r="F41" s="1701"/>
      <c r="G41" s="705" t="s">
        <v>31</v>
      </c>
      <c r="H41" s="96" t="s">
        <v>41</v>
      </c>
      <c r="I41" s="97"/>
      <c r="J41" s="163"/>
      <c r="K41" s="163"/>
      <c r="L41" s="163"/>
      <c r="M41" s="169">
        <f>L42</f>
        <v>7.9999999999999988E-2</v>
      </c>
      <c r="N41" s="164"/>
      <c r="O41" s="1665"/>
      <c r="P41" s="1666"/>
      <c r="Q41" s="78"/>
      <c r="R41" s="72"/>
      <c r="S41" s="104"/>
      <c r="T41" s="163"/>
      <c r="U41" s="169">
        <f>T42</f>
        <v>0</v>
      </c>
      <c r="V41" s="231"/>
      <c r="W41" s="181">
        <f t="shared" si="16"/>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736" t="s">
        <v>61</v>
      </c>
      <c r="B44" s="1736"/>
      <c r="C44" s="1736"/>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733"/>
      <c r="C45" s="1734"/>
      <c r="D45" s="1734"/>
      <c r="E45" s="1734"/>
      <c r="F45" s="1734"/>
      <c r="G45" s="1734"/>
      <c r="H45" s="1734"/>
      <c r="I45" s="1734"/>
      <c r="J45" s="1734"/>
      <c r="K45" s="1734"/>
      <c r="L45" s="1734"/>
      <c r="M45" s="1734"/>
      <c r="N45" s="1734"/>
      <c r="O45" s="1734"/>
      <c r="P45" s="1734"/>
      <c r="Q45" s="1734"/>
      <c r="R45" s="1734"/>
      <c r="S45" s="1734"/>
      <c r="T45" s="1734"/>
      <c r="U45" s="1734"/>
      <c r="V45" s="1734"/>
      <c r="W45" s="1734"/>
      <c r="X45" s="1734"/>
      <c r="Y45" s="1735"/>
    </row>
    <row r="46" spans="1:30" s="141" customFormat="1" ht="18" customHeight="1" x14ac:dyDescent="0.2">
      <c r="A46" s="769">
        <v>2</v>
      </c>
      <c r="B46" s="1733"/>
      <c r="C46" s="1734"/>
      <c r="D46" s="1734"/>
      <c r="E46" s="1734"/>
      <c r="F46" s="1734"/>
      <c r="G46" s="1734"/>
      <c r="H46" s="1734"/>
      <c r="I46" s="1734"/>
      <c r="J46" s="1734"/>
      <c r="K46" s="1734"/>
      <c r="L46" s="1734"/>
      <c r="M46" s="1734"/>
      <c r="N46" s="1734"/>
      <c r="O46" s="1734"/>
      <c r="P46" s="1734"/>
      <c r="Q46" s="1734"/>
      <c r="R46" s="1734"/>
      <c r="S46" s="1734"/>
      <c r="T46" s="1734"/>
      <c r="U46" s="1734"/>
      <c r="V46" s="1734"/>
      <c r="W46" s="1734"/>
      <c r="X46" s="1734"/>
      <c r="Y46" s="1735"/>
    </row>
    <row r="47" spans="1:30" s="141" customFormat="1" ht="18" customHeight="1" x14ac:dyDescent="0.2">
      <c r="A47" s="769">
        <v>3</v>
      </c>
      <c r="B47" s="1733"/>
      <c r="C47" s="1734"/>
      <c r="D47" s="1734"/>
      <c r="E47" s="1734"/>
      <c r="F47" s="1734"/>
      <c r="G47" s="1734"/>
      <c r="H47" s="1734"/>
      <c r="I47" s="1734"/>
      <c r="J47" s="1734"/>
      <c r="K47" s="1734"/>
      <c r="L47" s="1734"/>
      <c r="M47" s="1734"/>
      <c r="N47" s="1734"/>
      <c r="O47" s="1734"/>
      <c r="P47" s="1734"/>
      <c r="Q47" s="1734"/>
      <c r="R47" s="1734"/>
      <c r="S47" s="1734"/>
      <c r="T47" s="1734"/>
      <c r="U47" s="1734"/>
      <c r="V47" s="1734"/>
      <c r="W47" s="1734"/>
      <c r="X47" s="1734"/>
      <c r="Y47" s="1735"/>
    </row>
    <row r="48" spans="1:30" s="54" customFormat="1" ht="21" customHeight="1" x14ac:dyDescent="0.2">
      <c r="A48" s="769">
        <v>4</v>
      </c>
      <c r="B48" s="1733"/>
      <c r="C48" s="1734"/>
      <c r="D48" s="1734"/>
      <c r="E48" s="1734"/>
      <c r="F48" s="1734"/>
      <c r="G48" s="1734"/>
      <c r="H48" s="1734"/>
      <c r="I48" s="1734"/>
      <c r="J48" s="1734"/>
      <c r="K48" s="1734"/>
      <c r="L48" s="1734"/>
      <c r="M48" s="1734"/>
      <c r="N48" s="1734"/>
      <c r="O48" s="1734"/>
      <c r="P48" s="1734"/>
      <c r="Q48" s="1734"/>
      <c r="R48" s="1734"/>
      <c r="S48" s="1734"/>
      <c r="T48" s="1734"/>
      <c r="U48" s="1734"/>
      <c r="V48" s="1734"/>
      <c r="W48" s="1734"/>
      <c r="X48" s="1734"/>
      <c r="Y48" s="1735"/>
    </row>
  </sheetData>
  <sheetProtection insertRows="0"/>
  <mergeCells count="123">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A1:M1"/>
    <mergeCell ref="S3:Y3"/>
    <mergeCell ref="A4:C4"/>
    <mergeCell ref="D4:E4"/>
    <mergeCell ref="O4:P4"/>
    <mergeCell ref="S4:Y4"/>
    <mergeCell ref="F4:I4"/>
    <mergeCell ref="J4:N4"/>
    <mergeCell ref="N1:W1"/>
    <mergeCell ref="A3:Q3"/>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s>
  <conditionalFormatting sqref="S16:U41">
    <cfRule type="cellIs" dxfId="127" priority="18" stopIfTrue="1" operator="equal">
      <formula>0</formula>
    </cfRule>
  </conditionalFormatting>
  <conditionalFormatting sqref="W12:X13 W44:X44 W49:X65532">
    <cfRule type="cellIs" dxfId="126" priority="16" stopIfTrue="1" operator="notEqual">
      <formula>0</formula>
    </cfRule>
  </conditionalFormatting>
  <conditionalFormatting sqref="I16:I18">
    <cfRule type="cellIs" dxfId="125" priority="14" stopIfTrue="1" operator="equal">
      <formula>0</formula>
    </cfRule>
  </conditionalFormatting>
  <conditionalFormatting sqref="O16:Q41">
    <cfRule type="expression" dxfId="124" priority="12">
      <formula>MOD(ROW(),2)=0</formula>
    </cfRule>
  </conditionalFormatting>
  <conditionalFormatting sqref="I18:I30 I32:I35 J18:M41">
    <cfRule type="cellIs" dxfId="123" priority="11" operator="equal">
      <formula>0</formula>
    </cfRule>
  </conditionalFormatting>
  <conditionalFormatting sqref="X18:X41">
    <cfRule type="cellIs" dxfId="122" priority="2" operator="greaterThan">
      <formula>0</formula>
    </cfRule>
  </conditionalFormatting>
  <conditionalFormatting sqref="E25">
    <cfRule type="cellIs" dxfId="121" priority="1" operator="notEqual">
      <formula>"GC 76000 PA ($" &amp;Q11&amp;"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69" t="s">
        <v>433</v>
      </c>
      <c r="B1" s="1670"/>
      <c r="C1" s="1670"/>
      <c r="D1" s="1670"/>
      <c r="E1" s="1670"/>
      <c r="F1" s="1670"/>
      <c r="G1" s="1670"/>
      <c r="H1" s="1670"/>
      <c r="I1" s="1670"/>
      <c r="J1" s="1670"/>
      <c r="K1" s="1670"/>
      <c r="L1" s="1670"/>
      <c r="M1" s="1670"/>
      <c r="N1" s="1667"/>
      <c r="O1" s="1667"/>
      <c r="P1" s="1667"/>
      <c r="Q1" s="1667"/>
      <c r="R1" s="1667"/>
      <c r="S1" s="1667"/>
      <c r="T1" s="1667"/>
      <c r="U1" s="1667"/>
      <c r="V1" s="1667"/>
      <c r="W1" s="1667"/>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845"/>
      <c r="P3" s="1846"/>
      <c r="Q3" s="786"/>
      <c r="R3" s="283"/>
      <c r="S3" s="1792" t="s">
        <v>261</v>
      </c>
      <c r="T3" s="1793"/>
      <c r="U3" s="1793"/>
      <c r="V3" s="1793"/>
      <c r="W3" s="1793"/>
      <c r="X3" s="1793"/>
      <c r="Y3" s="1794"/>
      <c r="AA3" s="174" t="s">
        <v>250</v>
      </c>
      <c r="AB3" s="132"/>
    </row>
    <row r="4" spans="1:30" s="57" customFormat="1" ht="15.75" x14ac:dyDescent="0.2">
      <c r="A4" s="1379" t="s">
        <v>231</v>
      </c>
      <c r="B4" s="1380"/>
      <c r="C4" s="1380"/>
      <c r="D4" s="1335">
        <f>N1</f>
        <v>0</v>
      </c>
      <c r="E4" s="1336"/>
      <c r="F4" s="1332" t="s">
        <v>28</v>
      </c>
      <c r="G4" s="1333"/>
      <c r="H4" s="187"/>
      <c r="I4" s="1302"/>
      <c r="J4" s="1303"/>
      <c r="K4" s="1303"/>
      <c r="L4" s="1303"/>
      <c r="M4" s="1303"/>
      <c r="N4" s="1304"/>
      <c r="O4" s="1383" t="s">
        <v>257</v>
      </c>
      <c r="P4" s="1383"/>
      <c r="Q4" s="209"/>
      <c r="R4" s="284"/>
      <c r="S4" s="1796" t="s">
        <v>236</v>
      </c>
      <c r="T4" s="1797"/>
      <c r="U4" s="1797"/>
      <c r="V4" s="1797"/>
      <c r="W4" s="1797"/>
      <c r="X4" s="1797"/>
      <c r="Y4" s="1798"/>
      <c r="AA4" s="271" t="s">
        <v>308</v>
      </c>
      <c r="AB4" s="269" t="s">
        <v>309</v>
      </c>
      <c r="AC4" s="269" t="s">
        <v>310</v>
      </c>
    </row>
    <row r="5" spans="1:30" s="57" customFormat="1" ht="15.75" x14ac:dyDescent="0.2">
      <c r="A5" s="1384" t="s">
        <v>4</v>
      </c>
      <c r="B5" s="1385"/>
      <c r="C5" s="1385"/>
      <c r="D5" s="1289"/>
      <c r="E5" s="1283"/>
      <c r="F5" s="1291" t="s">
        <v>244</v>
      </c>
      <c r="G5" s="1388"/>
      <c r="H5" s="185"/>
      <c r="I5" s="1282"/>
      <c r="J5" s="1292"/>
      <c r="K5" s="1292"/>
      <c r="L5" s="1292"/>
      <c r="M5" s="1292"/>
      <c r="N5" s="1293"/>
      <c r="O5" s="1388" t="s">
        <v>22</v>
      </c>
      <c r="P5" s="1388"/>
      <c r="Q5" s="58"/>
      <c r="R5" s="284"/>
      <c r="S5" s="1789" t="s">
        <v>302</v>
      </c>
      <c r="T5" s="1790"/>
      <c r="U5" s="1790"/>
      <c r="V5" s="1790"/>
      <c r="W5" s="1790"/>
      <c r="X5" s="1790"/>
      <c r="Y5" s="1791"/>
      <c r="AA5" s="172" t="s">
        <v>31</v>
      </c>
      <c r="AB5" s="176">
        <f>SUMIF($G$17:$G$46,"STATE",$M$17:$M$46)</f>
        <v>105.78999999999999</v>
      </c>
      <c r="AC5" s="176">
        <f>SUMIF($G$17:$G$46,"STATE",$U$17:$U$46)</f>
        <v>0</v>
      </c>
    </row>
    <row r="6" spans="1:30" s="57" customFormat="1" ht="16.5" thickBot="1" x14ac:dyDescent="0.25">
      <c r="A6" s="1384" t="s">
        <v>12</v>
      </c>
      <c r="B6" s="1385"/>
      <c r="C6" s="1385"/>
      <c r="D6" s="1289"/>
      <c r="E6" s="1290"/>
      <c r="F6" s="1291" t="s">
        <v>20</v>
      </c>
      <c r="G6" s="1388"/>
      <c r="H6" s="185"/>
      <c r="I6" s="1282" t="s">
        <v>317</v>
      </c>
      <c r="J6" s="1292"/>
      <c r="K6" s="1292"/>
      <c r="L6" s="1292"/>
      <c r="M6" s="1292"/>
      <c r="N6" s="1293"/>
      <c r="O6" s="1389" t="s">
        <v>233</v>
      </c>
      <c r="P6" s="1389"/>
      <c r="Q6" s="212">
        <f>Q4+Q5*10</f>
        <v>0</v>
      </c>
      <c r="R6" s="284"/>
      <c r="S6" s="1786" t="s">
        <v>573</v>
      </c>
      <c r="T6" s="1787"/>
      <c r="U6" s="1787"/>
      <c r="V6" s="1787"/>
      <c r="W6" s="1787"/>
      <c r="X6" s="1787"/>
      <c r="Y6" s="1788"/>
      <c r="AA6" s="172" t="s">
        <v>32</v>
      </c>
      <c r="AB6" s="176">
        <f>SUMIF($G$17:$G$46,"COUNTY",$M$17:$M$46)</f>
        <v>25.209999999999997</v>
      </c>
      <c r="AC6" s="176">
        <f>SUMIF($G$17:$G$46,"COUNTY",$U$17:$U$46)</f>
        <v>0</v>
      </c>
    </row>
    <row r="7" spans="1:30" s="57" customFormat="1" ht="16.5" thickBot="1" x14ac:dyDescent="0.25">
      <c r="A7" s="1384" t="s">
        <v>5</v>
      </c>
      <c r="B7" s="1385"/>
      <c r="C7" s="1385"/>
      <c r="D7" s="1282"/>
      <c r="E7" s="1283"/>
      <c r="F7" s="1284" t="s">
        <v>21</v>
      </c>
      <c r="G7" s="1553"/>
      <c r="H7" s="186"/>
      <c r="I7" s="1286" t="s">
        <v>66</v>
      </c>
      <c r="J7" s="1287"/>
      <c r="K7" s="1287"/>
      <c r="L7" s="1287"/>
      <c r="M7" s="1287"/>
      <c r="N7" s="1288"/>
      <c r="O7" s="235"/>
      <c r="P7" s="242"/>
      <c r="Q7" s="236"/>
      <c r="R7" s="284"/>
      <c r="S7" s="1778" t="s">
        <v>235</v>
      </c>
      <c r="T7" s="1779"/>
      <c r="U7" s="1779"/>
      <c r="V7" s="1779"/>
      <c r="W7" s="1779"/>
      <c r="X7" s="1779"/>
      <c r="Y7" s="1780"/>
      <c r="AA7" s="172" t="s">
        <v>52</v>
      </c>
      <c r="AB7" s="176">
        <f>SUMIF($G$17:$G$46,"CITY",$M$17:$M$46)</f>
        <v>0</v>
      </c>
      <c r="AC7" s="176">
        <f>SUMIF($G$17:$G$46,"CITY",$U$17:$U$46)</f>
        <v>0</v>
      </c>
    </row>
    <row r="8" spans="1:30" s="57" customFormat="1" ht="15.75" customHeight="1" x14ac:dyDescent="0.2">
      <c r="A8" s="1394" t="s">
        <v>54</v>
      </c>
      <c r="B8" s="1395"/>
      <c r="C8" s="1395"/>
      <c r="D8" s="1781">
        <v>1</v>
      </c>
      <c r="E8" s="1809"/>
      <c r="F8" s="1332" t="s">
        <v>253</v>
      </c>
      <c r="G8" s="1333"/>
      <c r="H8" s="187"/>
      <c r="I8" s="1812"/>
      <c r="J8" s="1813"/>
      <c r="K8" s="1813"/>
      <c r="L8" s="1813"/>
      <c r="M8" s="1813"/>
      <c r="N8" s="1814"/>
      <c r="O8" s="1333" t="s">
        <v>257</v>
      </c>
      <c r="P8" s="1333"/>
      <c r="Q8" s="55"/>
      <c r="R8" s="285"/>
      <c r="S8" s="1772" t="s">
        <v>303</v>
      </c>
      <c r="T8" s="1726"/>
      <c r="U8" s="1726"/>
      <c r="V8" s="1726"/>
      <c r="W8" s="1726"/>
      <c r="X8" s="1726"/>
      <c r="Y8" s="1773"/>
      <c r="AA8" s="172" t="s">
        <v>230</v>
      </c>
      <c r="AB8" s="176">
        <f>SUMIF($G$17:$G$46,"COURT",$M$17:$M$46)</f>
        <v>0</v>
      </c>
      <c r="AC8" s="176">
        <f>SUMIF($G$17:$G$46,"COURT",$U$17:$U$46)</f>
        <v>0</v>
      </c>
    </row>
    <row r="9" spans="1:30" s="57" customFormat="1" ht="18" customHeight="1" thickBot="1" x14ac:dyDescent="0.25">
      <c r="A9" s="1402" t="s">
        <v>53</v>
      </c>
      <c r="B9" s="1403"/>
      <c r="C9" s="1403"/>
      <c r="D9" s="1404">
        <f>100%-D8</f>
        <v>0</v>
      </c>
      <c r="E9" s="1405"/>
      <c r="F9" s="1291" t="s">
        <v>244</v>
      </c>
      <c r="G9" s="1388"/>
      <c r="H9" s="185"/>
      <c r="I9" s="1815"/>
      <c r="J9" s="1816"/>
      <c r="K9" s="1816"/>
      <c r="L9" s="1816"/>
      <c r="M9" s="1816"/>
      <c r="N9" s="1817"/>
      <c r="O9" s="1388" t="s">
        <v>22</v>
      </c>
      <c r="P9" s="1388"/>
      <c r="Q9" s="58"/>
      <c r="R9" s="285"/>
      <c r="S9" s="1774"/>
      <c r="T9" s="1729"/>
      <c r="U9" s="1729"/>
      <c r="V9" s="1729"/>
      <c r="W9" s="1729"/>
      <c r="X9" s="1729"/>
      <c r="Y9" s="1775"/>
      <c r="AA9" s="153" t="s">
        <v>446</v>
      </c>
      <c r="AB9" s="176">
        <f>SUMIF($G$17:$G$46,"CNTY or CTY",$M$17:$M$46)</f>
        <v>0</v>
      </c>
      <c r="AC9" s="176">
        <f>SUMIF($G$17:$G$46,"CNTY or CTY",$U$17:$U$46)</f>
        <v>0</v>
      </c>
    </row>
    <row r="10" spans="1:30" s="57" customFormat="1" ht="16.5" customHeight="1" thickBot="1" x14ac:dyDescent="0.25">
      <c r="A10" s="1436" t="s">
        <v>276</v>
      </c>
      <c r="B10" s="1437"/>
      <c r="C10" s="1437"/>
      <c r="D10" s="1651">
        <f>Q6+Q10</f>
        <v>0</v>
      </c>
      <c r="E10" s="1652"/>
      <c r="F10" s="1291" t="s">
        <v>20</v>
      </c>
      <c r="G10" s="1388"/>
      <c r="H10" s="185"/>
      <c r="I10" s="1815"/>
      <c r="J10" s="1816"/>
      <c r="K10" s="1816"/>
      <c r="L10" s="1816"/>
      <c r="M10" s="1816"/>
      <c r="N10" s="1817"/>
      <c r="O10" s="1389" t="s">
        <v>233</v>
      </c>
      <c r="P10" s="1389"/>
      <c r="Q10" s="212">
        <f>Q8+Q9*10</f>
        <v>0</v>
      </c>
      <c r="R10" s="286"/>
      <c r="S10" s="1769" t="s">
        <v>239</v>
      </c>
      <c r="T10" s="1770"/>
      <c r="U10" s="1770"/>
      <c r="V10" s="1770"/>
      <c r="W10" s="1770"/>
      <c r="X10" s="1770"/>
      <c r="Y10" s="1771"/>
      <c r="AA10" s="498" t="s">
        <v>246</v>
      </c>
      <c r="AB10" s="148">
        <f>SUM(AB5:AB9)</f>
        <v>131</v>
      </c>
      <c r="AC10" s="148">
        <f>SUM(AC5:AC9)</f>
        <v>0</v>
      </c>
    </row>
    <row r="11" spans="1:30" s="57" customFormat="1" ht="16.5" customHeight="1" thickBot="1" x14ac:dyDescent="0.25">
      <c r="A11" s="1439" t="s">
        <v>277</v>
      </c>
      <c r="B11" s="1440"/>
      <c r="C11" s="1440"/>
      <c r="D11" s="1649">
        <f>ROUNDUP(D10/10,0)</f>
        <v>0</v>
      </c>
      <c r="E11" s="1650"/>
      <c r="F11" s="1284" t="s">
        <v>21</v>
      </c>
      <c r="G11" s="1553"/>
      <c r="H11" s="186"/>
      <c r="I11" s="1842"/>
      <c r="J11" s="1843"/>
      <c r="K11" s="1843"/>
      <c r="L11" s="1843"/>
      <c r="M11" s="1843"/>
      <c r="N11" s="1844"/>
      <c r="O11" s="1400" t="s">
        <v>568</v>
      </c>
      <c r="P11" s="1847"/>
      <c r="Q11" s="780">
        <f>'1-DUI (Reduce Base)'!P11</f>
        <v>5</v>
      </c>
      <c r="R11" s="286"/>
      <c r="S11" s="1755" t="s">
        <v>430</v>
      </c>
      <c r="T11" s="1756"/>
      <c r="U11" s="1756"/>
      <c r="V11" s="1756"/>
      <c r="W11" s="1756"/>
      <c r="X11" s="1756"/>
      <c r="Y11" s="1757"/>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758" t="s">
        <v>297</v>
      </c>
      <c r="L13" s="1759"/>
      <c r="M13" s="1759"/>
      <c r="N13" s="110"/>
      <c r="O13" s="1761" t="s">
        <v>229</v>
      </c>
      <c r="P13" s="1762"/>
      <c r="Q13" s="1763"/>
      <c r="R13" s="111"/>
      <c r="S13" s="1758" t="s">
        <v>295</v>
      </c>
      <c r="T13" s="1759"/>
      <c r="U13" s="1760"/>
      <c r="V13" s="226"/>
      <c r="W13" s="158"/>
      <c r="X13" s="158"/>
      <c r="Y13" s="159"/>
      <c r="Z13" s="108"/>
      <c r="AA13" s="108"/>
      <c r="AB13" s="108"/>
      <c r="AC13" s="108"/>
      <c r="AD13" s="108"/>
    </row>
    <row r="14" spans="1:30" ht="40.5" customHeight="1" thickBot="1" x14ac:dyDescent="0.25">
      <c r="A14" s="1820" t="s">
        <v>7</v>
      </c>
      <c r="B14" s="1823" t="s">
        <v>58</v>
      </c>
      <c r="C14" s="1747" t="s">
        <v>226</v>
      </c>
      <c r="D14" s="1747"/>
      <c r="E14" s="1747"/>
      <c r="F14" s="1747"/>
      <c r="G14" s="1827" t="s">
        <v>249</v>
      </c>
      <c r="H14" s="505" t="s">
        <v>0</v>
      </c>
      <c r="I14" s="1805" t="s">
        <v>298</v>
      </c>
      <c r="J14" s="1803" t="s">
        <v>273</v>
      </c>
      <c r="K14" s="1805" t="s">
        <v>315</v>
      </c>
      <c r="L14" s="1747" t="s">
        <v>6</v>
      </c>
      <c r="M14" s="1834" t="s">
        <v>402</v>
      </c>
      <c r="N14" s="67"/>
      <c r="O14" s="1716" t="s">
        <v>260</v>
      </c>
      <c r="P14" s="1717"/>
      <c r="Q14" s="1840" t="s">
        <v>248</v>
      </c>
      <c r="R14" s="121"/>
      <c r="S14" s="690" t="s">
        <v>428</v>
      </c>
      <c r="T14" s="1747" t="s">
        <v>6</v>
      </c>
      <c r="U14" s="504" t="s">
        <v>299</v>
      </c>
      <c r="V14" s="228"/>
      <c r="W14" s="295" t="s">
        <v>256</v>
      </c>
      <c r="X14" s="1749" t="s">
        <v>61</v>
      </c>
      <c r="Y14" s="1751" t="s">
        <v>384</v>
      </c>
    </row>
    <row r="15" spans="1:30" ht="14.25" customHeight="1" thickBot="1" x14ac:dyDescent="0.25">
      <c r="A15" s="1821"/>
      <c r="B15" s="1824"/>
      <c r="C15" s="1826"/>
      <c r="D15" s="1826"/>
      <c r="E15" s="1826"/>
      <c r="F15" s="1826"/>
      <c r="G15" s="1828"/>
      <c r="H15" s="506"/>
      <c r="I15" s="1830"/>
      <c r="J15" s="1831"/>
      <c r="K15" s="1830"/>
      <c r="L15" s="1826"/>
      <c r="M15" s="1835"/>
      <c r="N15" s="68"/>
      <c r="O15" s="1836"/>
      <c r="P15" s="1837"/>
      <c r="Q15" s="1841"/>
      <c r="R15" s="121"/>
      <c r="S15" s="256">
        <f>(S36-S32)/(M36-M32)</f>
        <v>0</v>
      </c>
      <c r="T15" s="1748"/>
      <c r="U15" s="244" t="s">
        <v>44</v>
      </c>
      <c r="V15" s="228"/>
      <c r="W15" s="1832" t="s">
        <v>300</v>
      </c>
      <c r="X15" s="1818"/>
      <c r="Y15" s="1819"/>
    </row>
    <row r="16" spans="1:30" ht="18.75" customHeight="1" thickBot="1" x14ac:dyDescent="0.25">
      <c r="A16" s="1822"/>
      <c r="B16" s="1825"/>
      <c r="C16" s="1748"/>
      <c r="D16" s="1748"/>
      <c r="E16" s="1748"/>
      <c r="F16" s="1748"/>
      <c r="G16" s="1829"/>
      <c r="H16" s="507"/>
      <c r="I16" s="1806"/>
      <c r="J16" s="1804"/>
      <c r="K16" s="502"/>
      <c r="L16" s="501"/>
      <c r="M16" s="294" t="s">
        <v>42</v>
      </c>
      <c r="N16" s="68"/>
      <c r="O16" s="1838"/>
      <c r="P16" s="1839"/>
      <c r="Q16" s="245" t="s">
        <v>43</v>
      </c>
      <c r="R16" s="121"/>
      <c r="S16" s="296" t="s">
        <v>44</v>
      </c>
      <c r="T16" s="260"/>
      <c r="U16" s="287"/>
      <c r="V16" s="228"/>
      <c r="W16" s="1833"/>
      <c r="X16" s="1750"/>
      <c r="Y16" s="1752"/>
    </row>
    <row r="17" spans="1:30" s="74" customFormat="1" ht="15.75" hidden="1" customHeight="1" thickTop="1" x14ac:dyDescent="0.2">
      <c r="A17" s="69" t="s">
        <v>7</v>
      </c>
      <c r="B17" s="262"/>
      <c r="C17" s="1692"/>
      <c r="D17" s="1692"/>
      <c r="E17" s="1692"/>
      <c r="F17" s="1692"/>
      <c r="G17" s="70"/>
      <c r="H17" s="71"/>
      <c r="I17" s="154"/>
      <c r="J17" s="162"/>
      <c r="K17" s="162"/>
      <c r="L17" s="162"/>
      <c r="M17" s="225"/>
      <c r="N17" s="164"/>
      <c r="O17" s="1731"/>
      <c r="P17" s="1732"/>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665"/>
      <c r="D18" s="1700"/>
      <c r="E18" s="1700"/>
      <c r="F18" s="1701"/>
      <c r="G18" s="76"/>
      <c r="H18" s="77"/>
      <c r="I18" s="156"/>
      <c r="J18" s="162"/>
      <c r="K18" s="162"/>
      <c r="L18" s="162"/>
      <c r="M18" s="774"/>
      <c r="N18" s="164"/>
      <c r="O18" s="1665"/>
      <c r="P18" s="1666"/>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692" t="s">
        <v>272</v>
      </c>
      <c r="D19" s="1692"/>
      <c r="E19" s="1692"/>
      <c r="F19" s="1692"/>
      <c r="G19" s="701" t="str">
        <f>IF(D9=0,"COUNTY","CITY")</f>
        <v>COUNTY</v>
      </c>
      <c r="H19" s="77" t="s">
        <v>51</v>
      </c>
      <c r="I19" s="156"/>
      <c r="J19" s="162"/>
      <c r="K19" s="162">
        <f>J47</f>
        <v>1.2</v>
      </c>
      <c r="L19" s="162">
        <f t="shared" ref="L19:L31" si="0">IF(A19="Y", K19*2%,0)</f>
        <v>0</v>
      </c>
      <c r="M19" s="166">
        <f t="shared" ref="M19:M34" si="1">K19-L19</f>
        <v>1.2</v>
      </c>
      <c r="N19" s="164"/>
      <c r="O19" s="1665"/>
      <c r="P19" s="1666"/>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801" t="s">
        <v>241</v>
      </c>
      <c r="C20" s="1659" t="s">
        <v>212</v>
      </c>
      <c r="D20" s="1659"/>
      <c r="E20" s="1659"/>
      <c r="F20" s="1659"/>
      <c r="G20" s="694" t="s">
        <v>32</v>
      </c>
      <c r="H20" s="77" t="s">
        <v>27</v>
      </c>
      <c r="I20" s="155">
        <f>(D10-SUM(I17:I19))*D8</f>
        <v>0</v>
      </c>
      <c r="J20" s="162">
        <f>I20*30%</f>
        <v>0</v>
      </c>
      <c r="K20" s="162">
        <f t="shared" ref="K20:K35" si="6">I20-J20</f>
        <v>0</v>
      </c>
      <c r="L20" s="162">
        <f t="shared" si="0"/>
        <v>0</v>
      </c>
      <c r="M20" s="167">
        <f t="shared" si="1"/>
        <v>0</v>
      </c>
      <c r="N20" s="164"/>
      <c r="O20" s="1665"/>
      <c r="P20" s="1666"/>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802"/>
      <c r="C21" s="1659" t="s">
        <v>213</v>
      </c>
      <c r="D21" s="1659"/>
      <c r="E21" s="1659"/>
      <c r="F21" s="1659"/>
      <c r="G21" s="694" t="s">
        <v>52</v>
      </c>
      <c r="H21" s="77" t="s">
        <v>25</v>
      </c>
      <c r="I21" s="155">
        <f>(D10-SUM(I17:I19))*D9</f>
        <v>0</v>
      </c>
      <c r="J21" s="162">
        <f>I21*30%</f>
        <v>0</v>
      </c>
      <c r="K21" s="162">
        <f t="shared" si="6"/>
        <v>0</v>
      </c>
      <c r="L21" s="162">
        <f t="shared" si="0"/>
        <v>0</v>
      </c>
      <c r="M21" s="167">
        <f t="shared" si="1"/>
        <v>0</v>
      </c>
      <c r="N21" s="164"/>
      <c r="O21" s="1665"/>
      <c r="P21" s="1666"/>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659" t="s">
        <v>546</v>
      </c>
      <c r="D22" s="1659"/>
      <c r="E22" s="1659"/>
      <c r="F22" s="1659"/>
      <c r="G22" s="694" t="s">
        <v>31</v>
      </c>
      <c r="H22" s="77" t="s">
        <v>26</v>
      </c>
      <c r="I22" s="155">
        <f t="shared" ref="I22:I31" si="7">$D$11*B22</f>
        <v>0</v>
      </c>
      <c r="J22" s="162">
        <f>I22*30%</f>
        <v>0</v>
      </c>
      <c r="K22" s="162">
        <f t="shared" si="6"/>
        <v>0</v>
      </c>
      <c r="L22" s="162">
        <f t="shared" si="0"/>
        <v>0</v>
      </c>
      <c r="M22" s="167">
        <f t="shared" si="1"/>
        <v>0</v>
      </c>
      <c r="N22" s="164"/>
      <c r="O22" s="1665"/>
      <c r="P22" s="1666"/>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659" t="s">
        <v>547</v>
      </c>
      <c r="D23" s="1659"/>
      <c r="E23" s="1659"/>
      <c r="F23" s="1659"/>
      <c r="G23" s="694" t="s">
        <v>32</v>
      </c>
      <c r="H23" s="77" t="s">
        <v>27</v>
      </c>
      <c r="I23" s="155">
        <f t="shared" si="7"/>
        <v>0</v>
      </c>
      <c r="J23" s="162">
        <f>I23*30%</f>
        <v>0</v>
      </c>
      <c r="K23" s="162">
        <f t="shared" si="6"/>
        <v>0</v>
      </c>
      <c r="L23" s="162">
        <f t="shared" si="0"/>
        <v>0</v>
      </c>
      <c r="M23" s="167">
        <f t="shared" si="1"/>
        <v>0</v>
      </c>
      <c r="N23" s="164"/>
      <c r="O23" s="1665"/>
      <c r="P23" s="1666"/>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665" t="s">
        <v>216</v>
      </c>
      <c r="D24" s="1700"/>
      <c r="E24" s="1700"/>
      <c r="F24" s="1701"/>
      <c r="G24" s="694" t="s">
        <v>32</v>
      </c>
      <c r="H24" s="77" t="s">
        <v>55</v>
      </c>
      <c r="I24" s="155">
        <f t="shared" si="7"/>
        <v>0</v>
      </c>
      <c r="J24" s="162">
        <f t="shared" ref="J24:J31" si="8">I24*30%</f>
        <v>0</v>
      </c>
      <c r="K24" s="162">
        <f t="shared" si="6"/>
        <v>0</v>
      </c>
      <c r="L24" s="162">
        <f t="shared" si="0"/>
        <v>0</v>
      </c>
      <c r="M24" s="167">
        <f t="shared" si="1"/>
        <v>0</v>
      </c>
      <c r="N24" s="164"/>
      <c r="O24" s="1665"/>
      <c r="P24" s="1666"/>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665" t="s">
        <v>466</v>
      </c>
      <c r="D25" s="1700"/>
      <c r="E25" s="1700"/>
      <c r="F25" s="1701"/>
      <c r="G25" s="694" t="s">
        <v>31</v>
      </c>
      <c r="H25" s="77" t="s">
        <v>72</v>
      </c>
      <c r="I25" s="155">
        <f t="shared" si="7"/>
        <v>0</v>
      </c>
      <c r="J25" s="162">
        <f t="shared" si="8"/>
        <v>0</v>
      </c>
      <c r="K25" s="162">
        <f t="shared" si="6"/>
        <v>0</v>
      </c>
      <c r="L25" s="162">
        <f t="shared" si="0"/>
        <v>0</v>
      </c>
      <c r="M25" s="167">
        <f t="shared" si="1"/>
        <v>0</v>
      </c>
      <c r="N25" s="164"/>
      <c r="O25" s="1665"/>
      <c r="P25" s="1666"/>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659" t="s">
        <v>217</v>
      </c>
      <c r="D26" s="1659"/>
      <c r="E26" s="1739" t="str">
        <f>IF(SUM(B26:B30)=Q11,"GC 76000 PA ($" &amp;Q11 &amp; " for every 10) breakdown per local board of supervisor resolution (BOS).","ERROR! GC 76000 PA total is not $" &amp;Q11&amp; ". Check Court's board resolution.")</f>
        <v>ERROR! GC 76000 PA total is not $5. Check Court's board resolution.</v>
      </c>
      <c r="F26" s="1740"/>
      <c r="G26" s="694" t="s">
        <v>32</v>
      </c>
      <c r="H26" s="77" t="s">
        <v>64</v>
      </c>
      <c r="I26" s="155">
        <f t="shared" si="7"/>
        <v>0</v>
      </c>
      <c r="J26" s="162">
        <f t="shared" si="8"/>
        <v>0</v>
      </c>
      <c r="K26" s="162">
        <f t="shared" si="6"/>
        <v>0</v>
      </c>
      <c r="L26" s="162">
        <f t="shared" si="0"/>
        <v>0</v>
      </c>
      <c r="M26" s="167">
        <f t="shared" si="1"/>
        <v>0</v>
      </c>
      <c r="N26" s="164"/>
      <c r="O26" s="1665"/>
      <c r="P26" s="1666"/>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659" t="s">
        <v>218</v>
      </c>
      <c r="D27" s="1659"/>
      <c r="E27" s="1741"/>
      <c r="F27" s="1742"/>
      <c r="G27" s="694" t="s">
        <v>32</v>
      </c>
      <c r="H27" s="77" t="s">
        <v>35</v>
      </c>
      <c r="I27" s="155">
        <f t="shared" si="7"/>
        <v>0</v>
      </c>
      <c r="J27" s="162">
        <f t="shared" si="8"/>
        <v>0</v>
      </c>
      <c r="K27" s="162">
        <f t="shared" si="6"/>
        <v>0</v>
      </c>
      <c r="L27" s="162">
        <f t="shared" si="0"/>
        <v>0</v>
      </c>
      <c r="M27" s="167">
        <f t="shared" si="1"/>
        <v>0</v>
      </c>
      <c r="N27" s="164"/>
      <c r="O27" s="1665"/>
      <c r="P27" s="1666"/>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659" t="s">
        <v>219</v>
      </c>
      <c r="D28" s="1659"/>
      <c r="E28" s="1741"/>
      <c r="F28" s="1742"/>
      <c r="G28" s="694" t="s">
        <v>32</v>
      </c>
      <c r="H28" s="77" t="s">
        <v>65</v>
      </c>
      <c r="I28" s="155">
        <f t="shared" si="7"/>
        <v>0</v>
      </c>
      <c r="J28" s="162">
        <f t="shared" si="8"/>
        <v>0</v>
      </c>
      <c r="K28" s="162">
        <f t="shared" si="6"/>
        <v>0</v>
      </c>
      <c r="L28" s="162">
        <f t="shared" si="0"/>
        <v>0</v>
      </c>
      <c r="M28" s="167">
        <f t="shared" si="1"/>
        <v>0</v>
      </c>
      <c r="N28" s="164"/>
      <c r="O28" s="1665"/>
      <c r="P28" s="1666"/>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659" t="s">
        <v>401</v>
      </c>
      <c r="D29" s="1659"/>
      <c r="E29" s="1741"/>
      <c r="F29" s="1742"/>
      <c r="G29" s="694" t="s">
        <v>32</v>
      </c>
      <c r="H29" s="77" t="s">
        <v>65</v>
      </c>
      <c r="I29" s="155">
        <f t="shared" si="7"/>
        <v>0</v>
      </c>
      <c r="J29" s="162">
        <f>I29*30%</f>
        <v>0</v>
      </c>
      <c r="K29" s="162">
        <f t="shared" si="6"/>
        <v>0</v>
      </c>
      <c r="L29" s="162">
        <f t="shared" si="0"/>
        <v>0</v>
      </c>
      <c r="M29" s="167">
        <f t="shared" si="1"/>
        <v>0</v>
      </c>
      <c r="N29" s="164"/>
      <c r="O29" s="1665"/>
      <c r="P29" s="1666"/>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659" t="s">
        <v>254</v>
      </c>
      <c r="D30" s="1659"/>
      <c r="E30" s="1743"/>
      <c r="F30" s="1744"/>
      <c r="G30" s="694" t="s">
        <v>32</v>
      </c>
      <c r="H30" s="77"/>
      <c r="I30" s="155">
        <f t="shared" si="7"/>
        <v>0</v>
      </c>
      <c r="J30" s="162">
        <f t="shared" si="8"/>
        <v>0</v>
      </c>
      <c r="K30" s="162">
        <f t="shared" si="6"/>
        <v>0</v>
      </c>
      <c r="L30" s="162">
        <f t="shared" si="0"/>
        <v>0</v>
      </c>
      <c r="M30" s="167">
        <f t="shared" si="1"/>
        <v>0</v>
      </c>
      <c r="N30" s="164"/>
      <c r="O30" s="1665"/>
      <c r="P30" s="1666"/>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449" t="s">
        <v>286</v>
      </c>
      <c r="D31" s="1459"/>
      <c r="E31" s="1459"/>
      <c r="F31" s="1460"/>
      <c r="G31" s="702" t="s">
        <v>32</v>
      </c>
      <c r="H31" s="84" t="s">
        <v>36</v>
      </c>
      <c r="I31" s="155">
        <f t="shared" si="7"/>
        <v>0</v>
      </c>
      <c r="J31" s="162">
        <f t="shared" si="8"/>
        <v>0</v>
      </c>
      <c r="K31" s="162">
        <f t="shared" si="6"/>
        <v>0</v>
      </c>
      <c r="L31" s="162">
        <f t="shared" si="0"/>
        <v>0</v>
      </c>
      <c r="M31" s="167">
        <f t="shared" si="1"/>
        <v>0</v>
      </c>
      <c r="N31" s="164"/>
      <c r="O31" s="1665"/>
      <c r="P31" s="1666"/>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449" t="s">
        <v>385</v>
      </c>
      <c r="D32" s="1459"/>
      <c r="E32" s="1459"/>
      <c r="F32" s="1460"/>
      <c r="G32" s="702" t="s">
        <v>31</v>
      </c>
      <c r="H32" s="91" t="s">
        <v>39</v>
      </c>
      <c r="I32" s="204">
        <v>4</v>
      </c>
      <c r="J32" s="162">
        <f>I32*30%</f>
        <v>1.2</v>
      </c>
      <c r="K32" s="162">
        <f t="shared" si="6"/>
        <v>2.8</v>
      </c>
      <c r="L32" s="162">
        <f>IF(A32="Y", I32*2%,0)</f>
        <v>0</v>
      </c>
      <c r="M32" s="167">
        <f t="shared" si="1"/>
        <v>2.8</v>
      </c>
      <c r="N32" s="164"/>
      <c r="O32" s="1665"/>
      <c r="P32" s="1666"/>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449" t="s">
        <v>555</v>
      </c>
      <c r="D33" s="1459"/>
      <c r="E33" s="1460"/>
      <c r="F33" s="1591" t="s">
        <v>281</v>
      </c>
      <c r="G33" s="702" t="s">
        <v>31</v>
      </c>
      <c r="H33" s="84" t="s">
        <v>37</v>
      </c>
      <c r="I33" s="155">
        <f>$D$11*B33</f>
        <v>0</v>
      </c>
      <c r="J33" s="162">
        <f>I33*30%</f>
        <v>0</v>
      </c>
      <c r="K33" s="162">
        <f t="shared" si="6"/>
        <v>0</v>
      </c>
      <c r="L33" s="162">
        <f>IF(A33="Y", K33*2%,0)</f>
        <v>0</v>
      </c>
      <c r="M33" s="167">
        <f t="shared" si="1"/>
        <v>0</v>
      </c>
      <c r="N33" s="164"/>
      <c r="O33" s="1665"/>
      <c r="P33" s="1666"/>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449" t="s">
        <v>556</v>
      </c>
      <c r="D34" s="1459"/>
      <c r="E34" s="1460"/>
      <c r="F34" s="1592"/>
      <c r="G34" s="702" t="s">
        <v>31</v>
      </c>
      <c r="H34" s="84" t="s">
        <v>197</v>
      </c>
      <c r="I34" s="155">
        <f>$D$11*B34</f>
        <v>0</v>
      </c>
      <c r="J34" s="162">
        <f>I34*30%</f>
        <v>0</v>
      </c>
      <c r="K34" s="162">
        <f t="shared" si="6"/>
        <v>0</v>
      </c>
      <c r="L34" s="162">
        <f>IF(A34="Y", K34*2%,0)</f>
        <v>0</v>
      </c>
      <c r="M34" s="167">
        <f t="shared" si="1"/>
        <v>0</v>
      </c>
      <c r="N34" s="164"/>
      <c r="O34" s="1665"/>
      <c r="P34" s="1666"/>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449" t="s">
        <v>220</v>
      </c>
      <c r="D35" s="1459"/>
      <c r="E35" s="1459"/>
      <c r="F35" s="1460"/>
      <c r="G35" s="702" t="s">
        <v>31</v>
      </c>
      <c r="H35" s="84" t="s">
        <v>10</v>
      </c>
      <c r="I35" s="155">
        <f>$D$10*20%</f>
        <v>0</v>
      </c>
      <c r="J35" s="162"/>
      <c r="K35" s="162">
        <f t="shared" si="6"/>
        <v>0</v>
      </c>
      <c r="L35" s="162">
        <f>IF(A35="Y", K35*2%,0)</f>
        <v>0</v>
      </c>
      <c r="M35" s="167">
        <f>I35-L35</f>
        <v>0</v>
      </c>
      <c r="N35" s="164"/>
      <c r="O35" s="1665"/>
      <c r="P35" s="1666"/>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456" t="s">
        <v>221</v>
      </c>
      <c r="D36" s="1694"/>
      <c r="E36" s="1694"/>
      <c r="F36" s="1695"/>
      <c r="G36" s="703"/>
      <c r="H36" s="88"/>
      <c r="I36" s="157">
        <f>SUM(I19:I35)</f>
        <v>4</v>
      </c>
      <c r="J36" s="277"/>
      <c r="K36" s="277">
        <f>SUM(K19:K35)</f>
        <v>4</v>
      </c>
      <c r="L36" s="162"/>
      <c r="M36" s="168">
        <f>SUM(M17:M35)</f>
        <v>4</v>
      </c>
      <c r="N36" s="165"/>
      <c r="O36" s="1449"/>
      <c r="P36" s="1699"/>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449" t="s">
        <v>419</v>
      </c>
      <c r="D37" s="1459"/>
      <c r="E37" s="1459"/>
      <c r="F37" s="1460"/>
      <c r="G37" s="702" t="s">
        <v>31</v>
      </c>
      <c r="H37" s="91"/>
      <c r="I37" s="204">
        <v>40</v>
      </c>
      <c r="J37" s="162"/>
      <c r="K37" s="162"/>
      <c r="L37" s="162"/>
      <c r="M37" s="167">
        <f t="shared" ref="M37:M45" si="9">I37-L37</f>
        <v>40</v>
      </c>
      <c r="N37" s="164"/>
      <c r="O37" s="1449"/>
      <c r="P37" s="1699"/>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446" t="s">
        <v>259</v>
      </c>
      <c r="D38" s="1447"/>
      <c r="E38" s="1447"/>
      <c r="F38" s="1448"/>
      <c r="G38" s="704" t="s">
        <v>31</v>
      </c>
      <c r="H38" s="92" t="s">
        <v>197</v>
      </c>
      <c r="I38" s="204">
        <v>35</v>
      </c>
      <c r="J38" s="162"/>
      <c r="K38" s="162">
        <f t="shared" ref="K38:K45" si="12">I38</f>
        <v>35</v>
      </c>
      <c r="L38" s="162">
        <f>IF(A38="Y", I38*2%,0)</f>
        <v>0</v>
      </c>
      <c r="M38" s="167">
        <f t="shared" si="9"/>
        <v>35</v>
      </c>
      <c r="N38" s="164"/>
      <c r="O38" s="1665"/>
      <c r="P38" s="1666"/>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446" t="s">
        <v>421</v>
      </c>
      <c r="D39" s="1447"/>
      <c r="E39" s="1447"/>
      <c r="F39" s="1448"/>
      <c r="G39" s="704" t="s">
        <v>230</v>
      </c>
      <c r="H39" s="92" t="s">
        <v>24</v>
      </c>
      <c r="I39" s="204"/>
      <c r="J39" s="162"/>
      <c r="K39" s="162">
        <f t="shared" si="12"/>
        <v>0</v>
      </c>
      <c r="L39" s="162">
        <f>IF(A39="Y", I39*2%,0)</f>
        <v>0</v>
      </c>
      <c r="M39" s="167">
        <f t="shared" si="9"/>
        <v>0</v>
      </c>
      <c r="N39" s="164"/>
      <c r="O39" s="1665"/>
      <c r="P39" s="1666"/>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446" t="s">
        <v>448</v>
      </c>
      <c r="D40" s="1447"/>
      <c r="E40" s="1447"/>
      <c r="F40" s="1448"/>
      <c r="G40" s="704" t="s">
        <v>32</v>
      </c>
      <c r="H40" s="92" t="s">
        <v>15</v>
      </c>
      <c r="I40" s="204">
        <f>49*49%</f>
        <v>24.009999999999998</v>
      </c>
      <c r="J40" s="162"/>
      <c r="K40" s="162">
        <f t="shared" si="12"/>
        <v>24.009999999999998</v>
      </c>
      <c r="L40" s="162">
        <f>IF(A40="Y", I40*2%,0)</f>
        <v>0</v>
      </c>
      <c r="M40" s="167">
        <f t="shared" si="9"/>
        <v>24.009999999999998</v>
      </c>
      <c r="N40" s="164"/>
      <c r="O40" s="1665"/>
      <c r="P40" s="1666"/>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446" t="s">
        <v>449</v>
      </c>
      <c r="D41" s="1447"/>
      <c r="E41" s="1447"/>
      <c r="F41" s="1448"/>
      <c r="G41" s="704" t="s">
        <v>31</v>
      </c>
      <c r="H41" s="92" t="s">
        <v>27</v>
      </c>
      <c r="I41" s="204">
        <f>49*51%</f>
        <v>24.990000000000002</v>
      </c>
      <c r="J41" s="162"/>
      <c r="K41" s="162">
        <f t="shared" si="12"/>
        <v>24.990000000000002</v>
      </c>
      <c r="L41" s="162">
        <f>IF(A41="Y", I41*2%,0)</f>
        <v>0</v>
      </c>
      <c r="M41" s="167">
        <f t="shared" si="9"/>
        <v>24.990000000000002</v>
      </c>
      <c r="N41" s="164"/>
      <c r="O41" s="1665"/>
      <c r="P41" s="1666"/>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446" t="s">
        <v>427</v>
      </c>
      <c r="D42" s="1447"/>
      <c r="E42" s="1447"/>
      <c r="F42" s="1448"/>
      <c r="G42" s="704" t="s">
        <v>230</v>
      </c>
      <c r="H42" s="92" t="s">
        <v>13</v>
      </c>
      <c r="I42" s="204"/>
      <c r="J42" s="162"/>
      <c r="K42" s="162">
        <f>I42</f>
        <v>0</v>
      </c>
      <c r="L42" s="162">
        <f>IF(A42="Y", I42*2%,0)</f>
        <v>0</v>
      </c>
      <c r="M42" s="167">
        <f>I42-L42</f>
        <v>0</v>
      </c>
      <c r="N42" s="164"/>
      <c r="O42" s="1665"/>
      <c r="P42" s="1666"/>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449" t="s">
        <v>551</v>
      </c>
      <c r="D43" s="1447"/>
      <c r="E43" s="1447"/>
      <c r="F43" s="1448"/>
      <c r="G43" s="704" t="s">
        <v>31</v>
      </c>
      <c r="H43" s="92"/>
      <c r="I43" s="204">
        <v>3</v>
      </c>
      <c r="J43" s="162"/>
      <c r="K43" s="162"/>
      <c r="L43" s="162"/>
      <c r="M43" s="167">
        <f t="shared" si="9"/>
        <v>3</v>
      </c>
      <c r="N43" s="164"/>
      <c r="O43" s="1665"/>
      <c r="P43" s="1666"/>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449" t="s">
        <v>518</v>
      </c>
      <c r="D44" s="1459"/>
      <c r="E44" s="1459"/>
      <c r="F44" s="1460"/>
      <c r="G44" s="704" t="s">
        <v>230</v>
      </c>
      <c r="H44" s="92" t="s">
        <v>82</v>
      </c>
      <c r="I44" s="204"/>
      <c r="J44" s="162"/>
      <c r="K44" s="162">
        <f t="shared" si="12"/>
        <v>0</v>
      </c>
      <c r="L44" s="162">
        <f>IF(A44="Y", I44*2%,0)</f>
        <v>0</v>
      </c>
      <c r="M44" s="167">
        <f t="shared" si="9"/>
        <v>0</v>
      </c>
      <c r="N44" s="164"/>
      <c r="O44" s="1665"/>
      <c r="P44" s="1666"/>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446" t="s">
        <v>225</v>
      </c>
      <c r="D45" s="1447"/>
      <c r="E45" s="1447"/>
      <c r="F45" s="1448"/>
      <c r="G45" s="704" t="s">
        <v>31</v>
      </c>
      <c r="H45" s="92" t="s">
        <v>80</v>
      </c>
      <c r="I45" s="204"/>
      <c r="J45" s="162"/>
      <c r="K45" s="162">
        <f t="shared" si="12"/>
        <v>0</v>
      </c>
      <c r="L45" s="162">
        <f>IF(A45="Y", I45*2%,0)</f>
        <v>0</v>
      </c>
      <c r="M45" s="167">
        <f t="shared" si="9"/>
        <v>0</v>
      </c>
      <c r="N45" s="164"/>
      <c r="O45" s="1665"/>
      <c r="P45" s="1666"/>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665" t="s">
        <v>492</v>
      </c>
      <c r="D46" s="1700"/>
      <c r="E46" s="1700"/>
      <c r="F46" s="1701"/>
      <c r="G46" s="705" t="s">
        <v>31</v>
      </c>
      <c r="H46" s="96" t="s">
        <v>41</v>
      </c>
      <c r="I46" s="97"/>
      <c r="J46" s="163"/>
      <c r="K46" s="163"/>
      <c r="L46" s="163"/>
      <c r="M46" s="169">
        <f>L47</f>
        <v>0</v>
      </c>
      <c r="N46" s="164"/>
      <c r="O46" s="1665"/>
      <c r="P46" s="1666"/>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1736" t="s">
        <v>61</v>
      </c>
      <c r="B49" s="1736"/>
      <c r="C49" s="1736"/>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648"/>
      <c r="C50" s="1648"/>
      <c r="D50" s="1648"/>
      <c r="E50" s="1648"/>
      <c r="F50" s="1648"/>
      <c r="G50" s="1648"/>
      <c r="H50" s="1648"/>
      <c r="I50" s="1648"/>
      <c r="J50" s="1648"/>
      <c r="K50" s="1648"/>
      <c r="L50" s="1648"/>
      <c r="M50" s="1648"/>
      <c r="N50" s="1648"/>
      <c r="O50" s="1648"/>
      <c r="P50" s="1648"/>
      <c r="Q50" s="1648"/>
      <c r="R50" s="1648"/>
      <c r="S50" s="1648"/>
      <c r="T50" s="1648"/>
      <c r="U50" s="1648"/>
      <c r="V50" s="1648"/>
      <c r="W50" s="1648"/>
      <c r="X50" s="1648"/>
      <c r="Y50" s="1648"/>
    </row>
    <row r="51" spans="1:25" s="141" customFormat="1" ht="18" customHeight="1" x14ac:dyDescent="0.2">
      <c r="A51" s="769">
        <v>2</v>
      </c>
      <c r="B51" s="1648"/>
      <c r="C51" s="1648"/>
      <c r="D51" s="1648"/>
      <c r="E51" s="1648"/>
      <c r="F51" s="1648"/>
      <c r="G51" s="1648"/>
      <c r="H51" s="1648"/>
      <c r="I51" s="1648"/>
      <c r="J51" s="1648"/>
      <c r="K51" s="1648"/>
      <c r="L51" s="1648"/>
      <c r="M51" s="1648"/>
      <c r="N51" s="1648"/>
      <c r="O51" s="1648"/>
      <c r="P51" s="1648"/>
      <c r="Q51" s="1648"/>
      <c r="R51" s="1648"/>
      <c r="S51" s="1648"/>
      <c r="T51" s="1648"/>
      <c r="U51" s="1648"/>
      <c r="V51" s="1648"/>
      <c r="W51" s="1648"/>
      <c r="X51" s="1648"/>
      <c r="Y51" s="1648"/>
    </row>
    <row r="52" spans="1:25" s="141" customFormat="1" ht="18" customHeight="1" x14ac:dyDescent="0.2">
      <c r="A52" s="769">
        <v>3</v>
      </c>
      <c r="B52" s="1648"/>
      <c r="C52" s="1648"/>
      <c r="D52" s="1648"/>
      <c r="E52" s="1648"/>
      <c r="F52" s="1648"/>
      <c r="G52" s="1648"/>
      <c r="H52" s="1648"/>
      <c r="I52" s="1648"/>
      <c r="J52" s="1648"/>
      <c r="K52" s="1648"/>
      <c r="L52" s="1648"/>
      <c r="M52" s="1648"/>
      <c r="N52" s="1648"/>
      <c r="O52" s="1648"/>
      <c r="P52" s="1648"/>
      <c r="Q52" s="1648"/>
      <c r="R52" s="1648"/>
      <c r="S52" s="1648"/>
      <c r="T52" s="1648"/>
      <c r="U52" s="1648"/>
      <c r="V52" s="1648"/>
      <c r="W52" s="1648"/>
      <c r="X52" s="1648"/>
      <c r="Y52" s="1648"/>
    </row>
    <row r="53" spans="1:25" s="54" customFormat="1" ht="17.25" customHeight="1" x14ac:dyDescent="0.2">
      <c r="A53" s="769">
        <v>4</v>
      </c>
      <c r="B53" s="1648"/>
      <c r="C53" s="1648"/>
      <c r="D53" s="1648"/>
      <c r="E53" s="1648"/>
      <c r="F53" s="1648"/>
      <c r="G53" s="1648"/>
      <c r="H53" s="1648"/>
      <c r="I53" s="1648"/>
      <c r="J53" s="1648"/>
      <c r="K53" s="1648"/>
      <c r="L53" s="1648"/>
      <c r="M53" s="1648"/>
      <c r="N53" s="1648"/>
      <c r="O53" s="1648"/>
      <c r="P53" s="1648"/>
      <c r="Q53" s="1648"/>
      <c r="R53" s="1648"/>
      <c r="S53" s="1648"/>
      <c r="T53" s="1648"/>
      <c r="U53" s="1648"/>
      <c r="V53" s="1648"/>
      <c r="W53" s="1648"/>
      <c r="X53" s="1648"/>
      <c r="Y53" s="1648"/>
    </row>
  </sheetData>
  <sheetProtection insertRows="0"/>
  <mergeCells count="136">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C25:F25"/>
    <mergeCell ref="O25:P25"/>
    <mergeCell ref="C26:D26"/>
    <mergeCell ref="E26:F30"/>
    <mergeCell ref="O26:P26"/>
    <mergeCell ref="C27:D27"/>
    <mergeCell ref="O27:P27"/>
    <mergeCell ref="C28:D28"/>
    <mergeCell ref="O28:P28"/>
    <mergeCell ref="C29:D29"/>
    <mergeCell ref="O29:P29"/>
    <mergeCell ref="C30:D30"/>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s>
  <conditionalFormatting sqref="S17:U46">
    <cfRule type="cellIs" dxfId="120" priority="19" stopIfTrue="1" operator="equal">
      <formula>0</formula>
    </cfRule>
  </conditionalFormatting>
  <conditionalFormatting sqref="W12:X13 W49:X49 W54:X65535">
    <cfRule type="cellIs" dxfId="119" priority="18" stopIfTrue="1" operator="notEqual">
      <formula>0</formula>
    </cfRule>
  </conditionalFormatting>
  <conditionalFormatting sqref="I17:I19">
    <cfRule type="cellIs" dxfId="118" priority="17" stopIfTrue="1" operator="equal">
      <formula>0</formula>
    </cfRule>
  </conditionalFormatting>
  <conditionalFormatting sqref="O17:Q46">
    <cfRule type="expression" dxfId="117" priority="15">
      <formula>MOD(ROW(),2)=0</formula>
    </cfRule>
  </conditionalFormatting>
  <conditionalFormatting sqref="I33:I36 I19:I31 J19:M46">
    <cfRule type="cellIs" dxfId="116" priority="14" operator="equal">
      <formula>0</formula>
    </cfRule>
  </conditionalFormatting>
  <conditionalFormatting sqref="X19:X46">
    <cfRule type="cellIs" dxfId="115" priority="2" operator="greaterThan">
      <formula>0</formula>
    </cfRule>
  </conditionalFormatting>
  <conditionalFormatting sqref="E26">
    <cfRule type="cellIs" dxfId="114"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showGridLines="0" zoomScale="80" zoomScaleNormal="80" workbookViewId="0">
      <selection activeCell="W28" sqref="W28"/>
    </sheetView>
  </sheetViews>
  <sheetFormatPr defaultRowHeight="15" x14ac:dyDescent="0.2"/>
  <cols>
    <col min="1" max="1" width="4.28515625" style="1057" customWidth="1"/>
    <col min="2" max="2" width="7.5703125" style="1057" customWidth="1"/>
    <col min="3" max="3" width="14.140625" style="1057" customWidth="1"/>
    <col min="4" max="4" width="13.28515625" style="1057" customWidth="1"/>
    <col min="5" max="5" width="10.42578125" style="707" customWidth="1"/>
    <col min="6" max="6" width="17.42578125" style="124" customWidth="1"/>
    <col min="7" max="7" width="13.140625" style="74" customWidth="1"/>
    <col min="8" max="8" width="35.5703125" style="74" hidden="1" customWidth="1"/>
    <col min="9" max="9" width="15.7109375" style="74" customWidth="1"/>
    <col min="10" max="10" width="12.5703125" style="74" customWidth="1"/>
    <col min="11" max="11" width="10.7109375" style="74" customWidth="1"/>
    <col min="12" max="12" width="0.140625" style="74" customWidth="1"/>
    <col min="13" max="13" width="21" style="74" customWidth="1"/>
    <col min="14" max="14" width="19.5703125" style="74" customWidth="1"/>
  </cols>
  <sheetData>
    <row r="1" spans="1:14" ht="21.75" customHeight="1" thickBot="1" x14ac:dyDescent="0.25">
      <c r="A1" s="1375" t="s">
        <v>599</v>
      </c>
      <c r="B1" s="1376"/>
      <c r="C1" s="1376"/>
      <c r="D1" s="1376"/>
      <c r="E1" s="1376"/>
      <c r="F1" s="1376"/>
      <c r="G1" s="1376"/>
      <c r="H1" s="1376"/>
      <c r="I1" s="1376"/>
      <c r="J1" s="1376"/>
      <c r="K1" s="1376"/>
      <c r="L1" s="1377"/>
      <c r="M1" s="1377"/>
      <c r="N1" s="1378"/>
    </row>
    <row r="2" spans="1:14" ht="15.75" thickBot="1" x14ac:dyDescent="0.25">
      <c r="A2" s="1002"/>
      <c r="B2" s="1003"/>
      <c r="C2" s="1003"/>
      <c r="D2" s="1003"/>
      <c r="E2" s="1003"/>
      <c r="F2" s="1003"/>
      <c r="G2" s="1003"/>
      <c r="H2" s="1003"/>
      <c r="I2" s="1003"/>
      <c r="J2" s="1003"/>
      <c r="K2" s="1003"/>
      <c r="L2" s="1004"/>
      <c r="M2" s="1004"/>
      <c r="N2" s="1005"/>
    </row>
    <row r="3" spans="1:14" ht="18" customHeight="1" thickBot="1" x14ac:dyDescent="0.25">
      <c r="A3" s="1884" t="s">
        <v>234</v>
      </c>
      <c r="B3" s="1885"/>
      <c r="C3" s="1885"/>
      <c r="D3" s="1885"/>
      <c r="E3" s="1885"/>
      <c r="F3" s="1885"/>
      <c r="G3" s="1885"/>
      <c r="H3" s="1885"/>
      <c r="I3" s="1885"/>
      <c r="J3" s="1885"/>
      <c r="K3" s="1885"/>
      <c r="L3" s="1885"/>
      <c r="M3" s="1885"/>
      <c r="N3" s="1886"/>
    </row>
    <row r="4" spans="1:14" x14ac:dyDescent="0.2">
      <c r="A4" s="1848" t="s">
        <v>231</v>
      </c>
      <c r="B4" s="1849"/>
      <c r="C4" s="1849"/>
      <c r="D4" s="2148"/>
      <c r="E4" s="2149"/>
      <c r="F4" s="1850" t="s">
        <v>28</v>
      </c>
      <c r="G4" s="1851"/>
      <c r="H4" s="1006"/>
      <c r="I4" s="1514"/>
      <c r="J4" s="1515"/>
      <c r="K4" s="1867"/>
      <c r="L4" s="1871" t="s">
        <v>257</v>
      </c>
      <c r="M4" s="1871"/>
      <c r="N4" s="1007"/>
    </row>
    <row r="5" spans="1:14" x14ac:dyDescent="0.2">
      <c r="A5" s="1852" t="s">
        <v>4</v>
      </c>
      <c r="B5" s="1853"/>
      <c r="C5" s="1853"/>
      <c r="D5" s="1529"/>
      <c r="E5" s="1515"/>
      <c r="F5" s="1854" t="s">
        <v>244</v>
      </c>
      <c r="G5" s="1855"/>
      <c r="H5" s="1008"/>
      <c r="I5" s="1514"/>
      <c r="J5" s="1515"/>
      <c r="K5" s="1867"/>
      <c r="L5" s="1868" t="s">
        <v>22</v>
      </c>
      <c r="M5" s="1868"/>
      <c r="N5" s="1009">
        <v>0</v>
      </c>
    </row>
    <row r="6" spans="1:14" x14ac:dyDescent="0.2">
      <c r="A6" s="1852" t="s">
        <v>12</v>
      </c>
      <c r="B6" s="1853"/>
      <c r="C6" s="1853"/>
      <c r="D6" s="1529"/>
      <c r="E6" s="1856"/>
      <c r="F6" s="1854" t="s">
        <v>20</v>
      </c>
      <c r="G6" s="1855"/>
      <c r="H6" s="1008"/>
      <c r="I6" s="1872"/>
      <c r="J6" s="1873"/>
      <c r="K6" s="1874"/>
      <c r="L6" s="1883" t="s">
        <v>233</v>
      </c>
      <c r="M6" s="1883"/>
      <c r="N6" s="1010">
        <f>N4+N5*10</f>
        <v>0</v>
      </c>
    </row>
    <row r="7" spans="1:14" ht="15.75" thickBot="1" x14ac:dyDescent="0.25">
      <c r="A7" s="1852" t="s">
        <v>5</v>
      </c>
      <c r="B7" s="1853"/>
      <c r="C7" s="1853"/>
      <c r="D7" s="1514"/>
      <c r="E7" s="1515"/>
      <c r="F7" s="1861" t="s">
        <v>21</v>
      </c>
      <c r="G7" s="1862"/>
      <c r="H7" s="1011"/>
      <c r="I7" s="1487"/>
      <c r="J7" s="1488"/>
      <c r="K7" s="1887"/>
      <c r="L7" s="1888"/>
      <c r="M7" s="1888"/>
      <c r="N7" s="1012"/>
    </row>
    <row r="8" spans="1:14" x14ac:dyDescent="0.2">
      <c r="A8" s="1857" t="s">
        <v>54</v>
      </c>
      <c r="B8" s="1858"/>
      <c r="C8" s="1858"/>
      <c r="D8" s="1863">
        <v>0</v>
      </c>
      <c r="E8" s="1864"/>
      <c r="F8" s="1865" t="s">
        <v>253</v>
      </c>
      <c r="G8" s="1866"/>
      <c r="H8" s="1013"/>
      <c r="I8" s="1522"/>
      <c r="J8" s="1523"/>
      <c r="K8" s="1889"/>
      <c r="L8" s="1890" t="s">
        <v>257</v>
      </c>
      <c r="M8" s="1890"/>
      <c r="N8" s="1014">
        <v>0</v>
      </c>
    </row>
    <row r="9" spans="1:14" x14ac:dyDescent="0.2">
      <c r="A9" s="1857" t="s">
        <v>53</v>
      </c>
      <c r="B9" s="1858"/>
      <c r="C9" s="1858"/>
      <c r="D9" s="1859">
        <f>100%-D8</f>
        <v>1</v>
      </c>
      <c r="E9" s="1860"/>
      <c r="F9" s="1854" t="s">
        <v>244</v>
      </c>
      <c r="G9" s="1855"/>
      <c r="H9" s="1008"/>
      <c r="I9" s="1514"/>
      <c r="J9" s="1515"/>
      <c r="K9" s="1867"/>
      <c r="L9" s="1868" t="s">
        <v>22</v>
      </c>
      <c r="M9" s="1868"/>
      <c r="N9" s="1009"/>
    </row>
    <row r="10" spans="1:14" ht="15.75" thickBot="1" x14ac:dyDescent="0.25">
      <c r="A10" s="1877" t="s">
        <v>276</v>
      </c>
      <c r="B10" s="1878"/>
      <c r="C10" s="1878"/>
      <c r="D10" s="1879">
        <f>N6+N10</f>
        <v>0</v>
      </c>
      <c r="E10" s="1880"/>
      <c r="F10" s="1854" t="s">
        <v>20</v>
      </c>
      <c r="G10" s="1855"/>
      <c r="H10" s="1008"/>
      <c r="I10" s="1514"/>
      <c r="J10" s="1515"/>
      <c r="K10" s="1867"/>
      <c r="L10" s="1883" t="s">
        <v>233</v>
      </c>
      <c r="M10" s="1883"/>
      <c r="N10" s="1010">
        <f>N8+N9*10</f>
        <v>0</v>
      </c>
    </row>
    <row r="11" spans="1:14" ht="15.75" thickBot="1" x14ac:dyDescent="0.25">
      <c r="A11" s="1881" t="s">
        <v>277</v>
      </c>
      <c r="B11" s="1882"/>
      <c r="C11" s="1882"/>
      <c r="D11" s="1897">
        <f>ROUNDUP(D10/10,0)</f>
        <v>0</v>
      </c>
      <c r="E11" s="1898"/>
      <c r="F11" s="1861" t="s">
        <v>21</v>
      </c>
      <c r="G11" s="1862"/>
      <c r="H11" s="1011"/>
      <c r="I11" s="1487"/>
      <c r="J11" s="1488"/>
      <c r="K11" s="1891"/>
      <c r="L11" s="1489" t="s">
        <v>568</v>
      </c>
      <c r="M11" s="1490"/>
      <c r="N11" s="840">
        <f>'Local Penalties'!B8</f>
        <v>5</v>
      </c>
    </row>
    <row r="12" spans="1:14" ht="15.75" thickBot="1" x14ac:dyDescent="0.25">
      <c r="A12" s="1015"/>
      <c r="B12" s="1016"/>
      <c r="C12" s="1016"/>
      <c r="D12" s="1016"/>
      <c r="E12" s="1016"/>
      <c r="F12" s="1017"/>
      <c r="G12" s="1018"/>
      <c r="H12" s="1019"/>
      <c r="I12" s="1020"/>
      <c r="J12" s="1020"/>
      <c r="K12" s="1020"/>
      <c r="L12" s="1020"/>
      <c r="M12" s="1020"/>
      <c r="N12" s="1021"/>
    </row>
    <row r="13" spans="1:14" ht="30.75" thickBot="1" x14ac:dyDescent="0.25">
      <c r="A13" s="1022"/>
      <c r="B13" s="1023"/>
      <c r="C13" s="1023"/>
      <c r="D13" s="1023"/>
      <c r="E13" s="1023"/>
      <c r="F13" s="1024"/>
      <c r="G13" s="1025"/>
      <c r="H13" s="1026"/>
      <c r="I13" s="1027"/>
      <c r="J13" s="1027"/>
      <c r="K13" s="1028"/>
      <c r="L13" s="1892" t="s">
        <v>314</v>
      </c>
      <c r="M13" s="1475"/>
      <c r="N13" s="1029" t="s">
        <v>585</v>
      </c>
    </row>
    <row r="14" spans="1:14" ht="30" x14ac:dyDescent="0.25">
      <c r="A14" s="1030">
        <v>0.02</v>
      </c>
      <c r="B14" s="1031" t="s">
        <v>58</v>
      </c>
      <c r="C14" s="1875" t="s">
        <v>226</v>
      </c>
      <c r="D14" s="1875"/>
      <c r="E14" s="1875"/>
      <c r="F14" s="1875"/>
      <c r="G14" s="1032" t="s">
        <v>249</v>
      </c>
      <c r="H14" s="1033" t="s">
        <v>0</v>
      </c>
      <c r="I14" s="1869" t="s">
        <v>269</v>
      </c>
      <c r="J14" s="1497" t="s">
        <v>290</v>
      </c>
      <c r="K14" s="1497" t="s">
        <v>294</v>
      </c>
      <c r="L14" s="1893" t="s">
        <v>6</v>
      </c>
      <c r="M14" s="1895" t="s">
        <v>590</v>
      </c>
      <c r="N14" s="1034" t="s">
        <v>313</v>
      </c>
    </row>
    <row r="15" spans="1:14" x14ac:dyDescent="0.25">
      <c r="A15" s="1035"/>
      <c r="B15" s="1036"/>
      <c r="C15" s="1876"/>
      <c r="D15" s="1876"/>
      <c r="E15" s="1876"/>
      <c r="F15" s="1876"/>
      <c r="G15" s="1037"/>
      <c r="H15" s="1038"/>
      <c r="I15" s="1870"/>
      <c r="J15" s="1494"/>
      <c r="K15" s="1494"/>
      <c r="L15" s="1894"/>
      <c r="M15" s="1896"/>
      <c r="N15" s="1039" t="e">
        <f>(N35-SUM(N25:N26))/(I35-SUM(K25:K26))</f>
        <v>#DIV/0!</v>
      </c>
    </row>
    <row r="16" spans="1:14" ht="15.75" thickBot="1" x14ac:dyDescent="0.25">
      <c r="A16" s="275" t="s">
        <v>7</v>
      </c>
      <c r="B16" s="1040"/>
      <c r="C16" s="1041"/>
      <c r="D16" s="1042"/>
      <c r="E16" s="1042"/>
      <c r="F16" s="1043"/>
      <c r="G16" s="1044"/>
      <c r="H16" s="1045"/>
      <c r="I16" s="1046"/>
      <c r="J16" s="1478"/>
      <c r="K16" s="1478"/>
      <c r="L16" s="1041"/>
      <c r="M16" s="1047"/>
      <c r="N16" s="1047"/>
    </row>
    <row r="17" spans="1:14" x14ac:dyDescent="0.2">
      <c r="A17" s="821" t="s">
        <v>7</v>
      </c>
      <c r="B17" s="262"/>
      <c r="C17" s="1473" t="s">
        <v>291</v>
      </c>
      <c r="D17" s="1473"/>
      <c r="E17" s="1473"/>
      <c r="F17" s="1473"/>
      <c r="G17" s="948" t="s">
        <v>32</v>
      </c>
      <c r="H17" s="993" t="s">
        <v>14</v>
      </c>
      <c r="I17" s="843"/>
      <c r="J17" s="904"/>
      <c r="K17" s="904"/>
      <c r="L17" s="162">
        <f>IF(A17="Y",(I35-K35)*2%,)</f>
        <v>0</v>
      </c>
      <c r="M17" s="979">
        <f>(I47-K47)-L17</f>
        <v>0</v>
      </c>
      <c r="N17" s="979">
        <f t="shared" ref="N17:N24" si="0">IF($N$47=0,,$N$15*M17)</f>
        <v>0</v>
      </c>
    </row>
    <row r="18" spans="1:14" x14ac:dyDescent="0.2">
      <c r="A18" s="821" t="s">
        <v>7</v>
      </c>
      <c r="B18" s="216"/>
      <c r="C18" s="1473" t="s">
        <v>289</v>
      </c>
      <c r="D18" s="1473"/>
      <c r="E18" s="1473"/>
      <c r="F18" s="1473"/>
      <c r="G18" s="987" t="str">
        <f>IF(D9&gt;0,"CITY","COUNTY")</f>
        <v>CITY</v>
      </c>
      <c r="H18" s="993" t="s">
        <v>14</v>
      </c>
      <c r="I18" s="843"/>
      <c r="J18" s="904"/>
      <c r="K18" s="904">
        <f>J45</f>
        <v>0</v>
      </c>
      <c r="L18" s="162">
        <f>IF(A18="Y",K18* 2%,0)</f>
        <v>0</v>
      </c>
      <c r="M18" s="941">
        <f>K18-L18</f>
        <v>0</v>
      </c>
      <c r="N18" s="941">
        <f t="shared" si="0"/>
        <v>0</v>
      </c>
    </row>
    <row r="19" spans="1:14" x14ac:dyDescent="0.2">
      <c r="A19" s="821" t="s">
        <v>7</v>
      </c>
      <c r="B19" s="1899" t="s">
        <v>241</v>
      </c>
      <c r="C19" s="1659" t="s">
        <v>307</v>
      </c>
      <c r="D19" s="1659"/>
      <c r="E19" s="1659"/>
      <c r="F19" s="1659"/>
      <c r="G19" s="981" t="s">
        <v>32</v>
      </c>
      <c r="H19" s="961" t="s">
        <v>27</v>
      </c>
      <c r="I19" s="155">
        <f>($D$10)*D8</f>
        <v>0</v>
      </c>
      <c r="J19" s="155">
        <f>I19*30%</f>
        <v>0</v>
      </c>
      <c r="K19" s="662"/>
      <c r="L19" s="162">
        <f t="shared" ref="L19:L32" si="1">IF(A19="Y",K19* 2%,0)</f>
        <v>0</v>
      </c>
      <c r="M19" s="941">
        <f t="shared" ref="M19:M34" si="2">K19-L19</f>
        <v>0</v>
      </c>
      <c r="N19" s="941">
        <f t="shared" si="0"/>
        <v>0</v>
      </c>
    </row>
    <row r="20" spans="1:14" x14ac:dyDescent="0.2">
      <c r="A20" s="821" t="s">
        <v>7</v>
      </c>
      <c r="B20" s="1661"/>
      <c r="C20" s="1659" t="s">
        <v>306</v>
      </c>
      <c r="D20" s="1659"/>
      <c r="E20" s="1659"/>
      <c r="F20" s="1659"/>
      <c r="G20" s="981" t="s">
        <v>52</v>
      </c>
      <c r="H20" s="961" t="s">
        <v>25</v>
      </c>
      <c r="I20" s="155">
        <f>($D$10)*D9</f>
        <v>0</v>
      </c>
      <c r="J20" s="155">
        <f t="shared" ref="J20:J33" si="3">I20*30%</f>
        <v>0</v>
      </c>
      <c r="K20" s="155">
        <f>IF(I20&gt;0,(I20-J20)*98%,)</f>
        <v>0</v>
      </c>
      <c r="L20" s="162">
        <f t="shared" si="1"/>
        <v>0</v>
      </c>
      <c r="M20" s="941">
        <f t="shared" si="2"/>
        <v>0</v>
      </c>
      <c r="N20" s="941">
        <f t="shared" si="0"/>
        <v>0</v>
      </c>
    </row>
    <row r="21" spans="1:14" x14ac:dyDescent="0.2">
      <c r="A21" s="821" t="s">
        <v>7</v>
      </c>
      <c r="B21" s="75">
        <v>7</v>
      </c>
      <c r="C21" s="1659" t="s">
        <v>546</v>
      </c>
      <c r="D21" s="1659"/>
      <c r="E21" s="1659"/>
      <c r="F21" s="1659"/>
      <c r="G21" s="981" t="s">
        <v>31</v>
      </c>
      <c r="H21" s="961" t="s">
        <v>26</v>
      </c>
      <c r="I21" s="155">
        <f>$D$11*B21</f>
        <v>0</v>
      </c>
      <c r="J21" s="155">
        <f t="shared" si="3"/>
        <v>0</v>
      </c>
      <c r="K21" s="661"/>
      <c r="L21" s="162">
        <f t="shared" si="1"/>
        <v>0</v>
      </c>
      <c r="M21" s="941">
        <f t="shared" si="2"/>
        <v>0</v>
      </c>
      <c r="N21" s="941">
        <f t="shared" si="0"/>
        <v>0</v>
      </c>
    </row>
    <row r="22" spans="1:14" x14ac:dyDescent="0.2">
      <c r="A22" s="821" t="s">
        <v>7</v>
      </c>
      <c r="B22" s="75">
        <v>3</v>
      </c>
      <c r="C22" s="1659" t="s">
        <v>547</v>
      </c>
      <c r="D22" s="1659"/>
      <c r="E22" s="1659"/>
      <c r="F22" s="1659"/>
      <c r="G22" s="981" t="s">
        <v>32</v>
      </c>
      <c r="H22" s="961" t="s">
        <v>27</v>
      </c>
      <c r="I22" s="155">
        <f t="shared" ref="I22:I33" si="4">$D$11*B22</f>
        <v>0</v>
      </c>
      <c r="J22" s="155">
        <f t="shared" si="3"/>
        <v>0</v>
      </c>
      <c r="K22" s="661"/>
      <c r="L22" s="162">
        <f t="shared" si="1"/>
        <v>0</v>
      </c>
      <c r="M22" s="941">
        <f t="shared" si="2"/>
        <v>0</v>
      </c>
      <c r="N22" s="941">
        <f t="shared" si="0"/>
        <v>0</v>
      </c>
    </row>
    <row r="23" spans="1:14" x14ac:dyDescent="0.2">
      <c r="A23" s="821" t="s">
        <v>7</v>
      </c>
      <c r="B23" s="75">
        <v>1</v>
      </c>
      <c r="C23" s="1665" t="s">
        <v>216</v>
      </c>
      <c r="D23" s="1700"/>
      <c r="E23" s="1700"/>
      <c r="F23" s="1701"/>
      <c r="G23" s="981" t="s">
        <v>32</v>
      </c>
      <c r="H23" s="961" t="s">
        <v>55</v>
      </c>
      <c r="I23" s="155">
        <f t="shared" si="4"/>
        <v>0</v>
      </c>
      <c r="J23" s="155">
        <f t="shared" si="3"/>
        <v>0</v>
      </c>
      <c r="K23" s="661"/>
      <c r="L23" s="162">
        <f t="shared" si="1"/>
        <v>0</v>
      </c>
      <c r="M23" s="941">
        <f t="shared" si="2"/>
        <v>0</v>
      </c>
      <c r="N23" s="941">
        <f t="shared" si="0"/>
        <v>0</v>
      </c>
    </row>
    <row r="24" spans="1:14" x14ac:dyDescent="0.2">
      <c r="A24" s="821" t="s">
        <v>7</v>
      </c>
      <c r="B24" s="75">
        <v>4</v>
      </c>
      <c r="C24" s="1665" t="s">
        <v>466</v>
      </c>
      <c r="D24" s="1700"/>
      <c r="E24" s="1700"/>
      <c r="F24" s="1701"/>
      <c r="G24" s="981" t="s">
        <v>31</v>
      </c>
      <c r="H24" s="961" t="s">
        <v>72</v>
      </c>
      <c r="I24" s="155">
        <f t="shared" si="4"/>
        <v>0</v>
      </c>
      <c r="J24" s="155">
        <f t="shared" si="3"/>
        <v>0</v>
      </c>
      <c r="K24" s="661"/>
      <c r="L24" s="162">
        <f t="shared" si="1"/>
        <v>0</v>
      </c>
      <c r="M24" s="941">
        <f t="shared" si="2"/>
        <v>0</v>
      </c>
      <c r="N24" s="941">
        <f t="shared" si="0"/>
        <v>0</v>
      </c>
    </row>
    <row r="25" spans="1:14" ht="18.75" customHeight="1" x14ac:dyDescent="0.2">
      <c r="A25" s="821" t="s">
        <v>7</v>
      </c>
      <c r="B25" s="782">
        <v>0</v>
      </c>
      <c r="C25" s="1659" t="s">
        <v>217</v>
      </c>
      <c r="D25" s="1659"/>
      <c r="E25" s="1900" t="str">
        <f>IF(SUM(B25:B29)=N11,"GC 76000 PA ($" &amp;N11 &amp; " for every 10) breakdown per local board of supervisor resolution (BOS).","ERROR! GC 76000 PA total is not $" &amp;N11&amp; ". Check Court's board resolution.")</f>
        <v>ERROR! GC 76000 PA total is not $5. Check Court's board resolution.</v>
      </c>
      <c r="F25" s="1901"/>
      <c r="G25" s="981" t="s">
        <v>32</v>
      </c>
      <c r="H25" s="961" t="s">
        <v>64</v>
      </c>
      <c r="I25" s="155">
        <f t="shared" si="4"/>
        <v>0</v>
      </c>
      <c r="J25" s="155">
        <f t="shared" si="3"/>
        <v>0</v>
      </c>
      <c r="K25" s="155">
        <f>IF(B25&gt;0,1,)</f>
        <v>0</v>
      </c>
      <c r="L25" s="162">
        <f t="shared" si="1"/>
        <v>0</v>
      </c>
      <c r="M25" s="941">
        <f t="shared" si="2"/>
        <v>0</v>
      </c>
      <c r="N25" s="941">
        <f>IF($N$47=0,,M25)</f>
        <v>0</v>
      </c>
    </row>
    <row r="26" spans="1:14" ht="20.25" customHeight="1" x14ac:dyDescent="0.2">
      <c r="A26" s="821" t="s">
        <v>7</v>
      </c>
      <c r="B26" s="782">
        <v>0</v>
      </c>
      <c r="C26" s="1659" t="s">
        <v>218</v>
      </c>
      <c r="D26" s="1659"/>
      <c r="E26" s="1902"/>
      <c r="F26" s="1903"/>
      <c r="G26" s="981" t="s">
        <v>32</v>
      </c>
      <c r="H26" s="961" t="s">
        <v>35</v>
      </c>
      <c r="I26" s="155">
        <f t="shared" si="4"/>
        <v>0</v>
      </c>
      <c r="J26" s="155">
        <f t="shared" si="3"/>
        <v>0</v>
      </c>
      <c r="K26" s="155">
        <f>IF(B26&gt;0,1,)</f>
        <v>0</v>
      </c>
      <c r="L26" s="162">
        <f t="shared" si="1"/>
        <v>0</v>
      </c>
      <c r="M26" s="941">
        <f t="shared" si="2"/>
        <v>0</v>
      </c>
      <c r="N26" s="941">
        <f>IF($N$47=0,,M26)</f>
        <v>0</v>
      </c>
    </row>
    <row r="27" spans="1:14" ht="21" customHeight="1" x14ac:dyDescent="0.2">
      <c r="A27" s="821" t="s">
        <v>7</v>
      </c>
      <c r="B27" s="782">
        <v>0</v>
      </c>
      <c r="C27" s="1659" t="s">
        <v>219</v>
      </c>
      <c r="D27" s="1659"/>
      <c r="E27" s="1902"/>
      <c r="F27" s="1903"/>
      <c r="G27" s="981" t="s">
        <v>32</v>
      </c>
      <c r="H27" s="961" t="s">
        <v>65</v>
      </c>
      <c r="I27" s="155">
        <f t="shared" si="4"/>
        <v>0</v>
      </c>
      <c r="J27" s="155">
        <f t="shared" si="3"/>
        <v>0</v>
      </c>
      <c r="K27" s="155">
        <f>IF(B27&gt;0,$D$11*2,)</f>
        <v>0</v>
      </c>
      <c r="L27" s="162">
        <f t="shared" si="1"/>
        <v>0</v>
      </c>
      <c r="M27" s="941">
        <f t="shared" si="2"/>
        <v>0</v>
      </c>
      <c r="N27" s="941">
        <f t="shared" ref="N27:N34" si="5">IF($N$47=0,,$N$15*M27)</f>
        <v>0</v>
      </c>
    </row>
    <row r="28" spans="1:14" ht="15" customHeight="1" x14ac:dyDescent="0.2">
      <c r="A28" s="821" t="s">
        <v>7</v>
      </c>
      <c r="B28" s="782">
        <v>0</v>
      </c>
      <c r="C28" s="1659" t="s">
        <v>401</v>
      </c>
      <c r="D28" s="1659"/>
      <c r="E28" s="1902"/>
      <c r="F28" s="1903"/>
      <c r="G28" s="981" t="s">
        <v>32</v>
      </c>
      <c r="H28" s="961" t="s">
        <v>65</v>
      </c>
      <c r="I28" s="155">
        <f t="shared" si="4"/>
        <v>0</v>
      </c>
      <c r="J28" s="155">
        <f>I28*30%</f>
        <v>0</v>
      </c>
      <c r="K28" s="155"/>
      <c r="L28" s="162">
        <f>IF(A28="Y",K28* 2%,0)</f>
        <v>0</v>
      </c>
      <c r="M28" s="941">
        <f>K28-L28</f>
        <v>0</v>
      </c>
      <c r="N28" s="941">
        <f t="shared" si="5"/>
        <v>0</v>
      </c>
    </row>
    <row r="29" spans="1:14" x14ac:dyDescent="0.2">
      <c r="A29" s="821" t="s">
        <v>7</v>
      </c>
      <c r="B29" s="782">
        <v>0</v>
      </c>
      <c r="C29" s="1659" t="s">
        <v>254</v>
      </c>
      <c r="D29" s="1659"/>
      <c r="E29" s="1904"/>
      <c r="F29" s="1905"/>
      <c r="G29" s="981" t="s">
        <v>32</v>
      </c>
      <c r="H29" s="961"/>
      <c r="I29" s="155">
        <f t="shared" si="4"/>
        <v>0</v>
      </c>
      <c r="J29" s="155">
        <f t="shared" si="3"/>
        <v>0</v>
      </c>
      <c r="K29" s="155"/>
      <c r="L29" s="162">
        <f t="shared" si="1"/>
        <v>0</v>
      </c>
      <c r="M29" s="941">
        <f t="shared" si="2"/>
        <v>0</v>
      </c>
      <c r="N29" s="941">
        <f t="shared" si="5"/>
        <v>0</v>
      </c>
    </row>
    <row r="30" spans="1:14" x14ac:dyDescent="0.2">
      <c r="A30" s="821" t="s">
        <v>7</v>
      </c>
      <c r="B30" s="782">
        <v>0</v>
      </c>
      <c r="C30" s="1449" t="s">
        <v>286</v>
      </c>
      <c r="D30" s="1459"/>
      <c r="E30" s="1459"/>
      <c r="F30" s="1460"/>
      <c r="G30" s="986" t="s">
        <v>32</v>
      </c>
      <c r="H30" s="962" t="s">
        <v>36</v>
      </c>
      <c r="I30" s="155">
        <f t="shared" si="4"/>
        <v>0</v>
      </c>
      <c r="J30" s="155">
        <f t="shared" si="3"/>
        <v>0</v>
      </c>
      <c r="K30" s="155">
        <f>IF(B30&gt;0,$D$11*2,)</f>
        <v>0</v>
      </c>
      <c r="L30" s="162">
        <f t="shared" si="1"/>
        <v>0</v>
      </c>
      <c r="M30" s="941">
        <f t="shared" si="2"/>
        <v>0</v>
      </c>
      <c r="N30" s="941">
        <f t="shared" si="5"/>
        <v>0</v>
      </c>
    </row>
    <row r="31" spans="1:14" x14ac:dyDescent="0.2">
      <c r="A31" s="821" t="s">
        <v>7</v>
      </c>
      <c r="B31" s="75"/>
      <c r="C31" s="1449" t="s">
        <v>385</v>
      </c>
      <c r="D31" s="1459"/>
      <c r="E31" s="1459"/>
      <c r="F31" s="1460"/>
      <c r="G31" s="986" t="s">
        <v>31</v>
      </c>
      <c r="H31" s="965" t="s">
        <v>39</v>
      </c>
      <c r="I31" s="2159"/>
      <c r="J31" s="155">
        <f>I31*30%</f>
        <v>0</v>
      </c>
      <c r="K31" s="155"/>
      <c r="L31" s="162"/>
      <c r="M31" s="941">
        <f>K31</f>
        <v>0</v>
      </c>
      <c r="N31" s="941">
        <f t="shared" si="5"/>
        <v>0</v>
      </c>
    </row>
    <row r="32" spans="1:14" ht="17.25" customHeight="1" x14ac:dyDescent="0.2">
      <c r="A32" s="821" t="s">
        <v>7</v>
      </c>
      <c r="B32" s="782">
        <v>0</v>
      </c>
      <c r="C32" s="1449" t="s">
        <v>555</v>
      </c>
      <c r="D32" s="1459"/>
      <c r="E32" s="1460"/>
      <c r="F32" s="1461" t="s">
        <v>281</v>
      </c>
      <c r="G32" s="986" t="s">
        <v>31</v>
      </c>
      <c r="H32" s="962" t="s">
        <v>37</v>
      </c>
      <c r="I32" s="155">
        <f t="shared" si="4"/>
        <v>0</v>
      </c>
      <c r="J32" s="155">
        <f t="shared" si="3"/>
        <v>0</v>
      </c>
      <c r="K32" s="155">
        <f>I32</f>
        <v>0</v>
      </c>
      <c r="L32" s="162">
        <f t="shared" si="1"/>
        <v>0</v>
      </c>
      <c r="M32" s="941">
        <f t="shared" si="2"/>
        <v>0</v>
      </c>
      <c r="N32" s="941">
        <f t="shared" si="5"/>
        <v>0</v>
      </c>
    </row>
    <row r="33" spans="1:14" x14ac:dyDescent="0.2">
      <c r="A33" s="821" t="s">
        <v>7</v>
      </c>
      <c r="B33" s="179">
        <f>5-B32</f>
        <v>5</v>
      </c>
      <c r="C33" s="1449" t="s">
        <v>556</v>
      </c>
      <c r="D33" s="1459"/>
      <c r="E33" s="1460"/>
      <c r="F33" s="1462"/>
      <c r="G33" s="986" t="s">
        <v>31</v>
      </c>
      <c r="H33" s="962" t="s">
        <v>197</v>
      </c>
      <c r="I33" s="155">
        <f t="shared" si="4"/>
        <v>0</v>
      </c>
      <c r="J33" s="155">
        <f t="shared" si="3"/>
        <v>0</v>
      </c>
      <c r="K33" s="155">
        <f>I33</f>
        <v>0</v>
      </c>
      <c r="L33" s="162">
        <f>IF(A33="Y",#REF!* 2%,0)</f>
        <v>0</v>
      </c>
      <c r="M33" s="941">
        <f t="shared" si="2"/>
        <v>0</v>
      </c>
      <c r="N33" s="941">
        <f t="shared" si="5"/>
        <v>0</v>
      </c>
    </row>
    <row r="34" spans="1:14" x14ac:dyDescent="0.2">
      <c r="A34" s="821" t="s">
        <v>7</v>
      </c>
      <c r="B34" s="75"/>
      <c r="C34" s="1449" t="s">
        <v>220</v>
      </c>
      <c r="D34" s="1459"/>
      <c r="E34" s="1459"/>
      <c r="F34" s="1460"/>
      <c r="G34" s="986" t="s">
        <v>31</v>
      </c>
      <c r="H34" s="962" t="s">
        <v>10</v>
      </c>
      <c r="I34" s="155">
        <f>D10*20%</f>
        <v>0</v>
      </c>
      <c r="J34" s="155"/>
      <c r="K34" s="155">
        <f>I34</f>
        <v>0</v>
      </c>
      <c r="L34" s="162"/>
      <c r="M34" s="941">
        <f t="shared" si="2"/>
        <v>0</v>
      </c>
      <c r="N34" s="941">
        <f t="shared" si="5"/>
        <v>0</v>
      </c>
    </row>
    <row r="35" spans="1:14" x14ac:dyDescent="0.2">
      <c r="A35" s="821"/>
      <c r="B35" s="86"/>
      <c r="C35" s="1456" t="s">
        <v>221</v>
      </c>
      <c r="D35" s="1457"/>
      <c r="E35" s="1457"/>
      <c r="F35" s="1458"/>
      <c r="G35" s="703"/>
      <c r="H35" s="963"/>
      <c r="I35" s="157">
        <f>SUM(I18:I34)</f>
        <v>0</v>
      </c>
      <c r="J35" s="157"/>
      <c r="K35" s="157">
        <f>SUM(K17:K34)</f>
        <v>0</v>
      </c>
      <c r="L35" s="162"/>
      <c r="M35" s="943">
        <f>SUM(M17:M34)</f>
        <v>0</v>
      </c>
      <c r="N35" s="943">
        <f>IF($N$47=0,,N47-SUM(N36:N43))</f>
        <v>0</v>
      </c>
    </row>
    <row r="36" spans="1:14" x14ac:dyDescent="0.2">
      <c r="A36" s="821" t="s">
        <v>7</v>
      </c>
      <c r="B36" s="75"/>
      <c r="C36" s="1449" t="s">
        <v>419</v>
      </c>
      <c r="D36" s="1459"/>
      <c r="E36" s="1459"/>
      <c r="F36" s="1460"/>
      <c r="G36" s="986" t="s">
        <v>31</v>
      </c>
      <c r="H36" s="965"/>
      <c r="I36" s="2159">
        <v>0</v>
      </c>
      <c r="J36" s="155"/>
      <c r="K36" s="155">
        <f t="shared" ref="K36:K43" si="6">I36</f>
        <v>0</v>
      </c>
      <c r="L36" s="162"/>
      <c r="M36" s="941">
        <f t="shared" ref="M36:M44" si="7">K36-L36</f>
        <v>0</v>
      </c>
      <c r="N36" s="941">
        <f t="shared" ref="N36:N43" si="8">IF($N$47=0,,K36)</f>
        <v>0</v>
      </c>
    </row>
    <row r="37" spans="1:14" x14ac:dyDescent="0.2">
      <c r="A37" s="821" t="s">
        <v>7</v>
      </c>
      <c r="B37" s="75"/>
      <c r="C37" s="1446" t="s">
        <v>259</v>
      </c>
      <c r="D37" s="1447"/>
      <c r="E37" s="1447"/>
      <c r="F37" s="1448"/>
      <c r="G37" s="704" t="s">
        <v>31</v>
      </c>
      <c r="H37" s="966" t="s">
        <v>197</v>
      </c>
      <c r="I37" s="2159">
        <v>0</v>
      </c>
      <c r="J37" s="196"/>
      <c r="K37" s="155">
        <f t="shared" si="6"/>
        <v>0</v>
      </c>
      <c r="L37" s="162">
        <f>IF(A37="Y", IF($L$15="BASE-UP",#REF!*2%, IF($L$15="TOP-DOWN",#REF!* 2%,0)),0)</f>
        <v>0</v>
      </c>
      <c r="M37" s="941">
        <f t="shared" si="7"/>
        <v>0</v>
      </c>
      <c r="N37" s="941">
        <f t="shared" si="8"/>
        <v>0</v>
      </c>
    </row>
    <row r="38" spans="1:14" x14ac:dyDescent="0.2">
      <c r="A38" s="821" t="s">
        <v>7</v>
      </c>
      <c r="B38" s="75"/>
      <c r="C38" s="1446" t="s">
        <v>292</v>
      </c>
      <c r="D38" s="1447"/>
      <c r="E38" s="1447"/>
      <c r="F38" s="1448"/>
      <c r="G38" s="704" t="s">
        <v>32</v>
      </c>
      <c r="H38" s="966"/>
      <c r="I38" s="202">
        <f>49*49%</f>
        <v>24.009999999999998</v>
      </c>
      <c r="J38" s="196"/>
      <c r="K38" s="155">
        <f t="shared" si="6"/>
        <v>24.009999999999998</v>
      </c>
      <c r="L38" s="162">
        <f>IF(A38="Y", IF($L$15="BASE-UP",#REF!*2%, IF($L$15="TOP-DOWN",#REF!* 2%,0)),0)</f>
        <v>0</v>
      </c>
      <c r="M38" s="941">
        <f t="shared" si="7"/>
        <v>24.009999999999998</v>
      </c>
      <c r="N38" s="941">
        <f t="shared" si="8"/>
        <v>0</v>
      </c>
    </row>
    <row r="39" spans="1:14" x14ac:dyDescent="0.2">
      <c r="A39" s="821" t="s">
        <v>7</v>
      </c>
      <c r="B39" s="75"/>
      <c r="C39" s="1446" t="s">
        <v>293</v>
      </c>
      <c r="D39" s="1447"/>
      <c r="E39" s="1447"/>
      <c r="F39" s="1448"/>
      <c r="G39" s="704" t="s">
        <v>31</v>
      </c>
      <c r="H39" s="966"/>
      <c r="I39" s="202">
        <f>49*51%</f>
        <v>24.990000000000002</v>
      </c>
      <c r="J39" s="196"/>
      <c r="K39" s="155">
        <f t="shared" si="6"/>
        <v>24.990000000000002</v>
      </c>
      <c r="L39" s="162">
        <f>IF(A39="Y", IF($L$15="BASE-UP",#REF!*2%, IF($L$15="TOP-DOWN",#REF!* 2%,0)),0)</f>
        <v>0</v>
      </c>
      <c r="M39" s="941">
        <f t="shared" si="7"/>
        <v>24.990000000000002</v>
      </c>
      <c r="N39" s="941">
        <f t="shared" si="8"/>
        <v>0</v>
      </c>
    </row>
    <row r="40" spans="1:14" x14ac:dyDescent="0.2">
      <c r="A40" s="821" t="s">
        <v>7</v>
      </c>
      <c r="B40" s="75"/>
      <c r="C40" s="1446" t="s">
        <v>427</v>
      </c>
      <c r="D40" s="1447"/>
      <c r="E40" s="1447"/>
      <c r="F40" s="1448"/>
      <c r="G40" s="704" t="s">
        <v>230</v>
      </c>
      <c r="H40" s="966"/>
      <c r="I40" s="202">
        <v>0</v>
      </c>
      <c r="J40" s="196"/>
      <c r="K40" s="155">
        <f>I40</f>
        <v>0</v>
      </c>
      <c r="L40" s="162">
        <f>IF(A40="Y", IF($L$15="BASE-UP",#REF!*2%, IF($L$15="TOP-DOWN",#REF!* 2%,0)),0)</f>
        <v>0</v>
      </c>
      <c r="M40" s="941">
        <f>K40-L40</f>
        <v>0</v>
      </c>
      <c r="N40" s="941">
        <f t="shared" si="8"/>
        <v>0</v>
      </c>
    </row>
    <row r="41" spans="1:14" x14ac:dyDescent="0.2">
      <c r="A41" s="821" t="s">
        <v>7</v>
      </c>
      <c r="B41" s="75"/>
      <c r="C41" s="1449" t="s">
        <v>551</v>
      </c>
      <c r="D41" s="1447"/>
      <c r="E41" s="1447"/>
      <c r="F41" s="1448"/>
      <c r="G41" s="704" t="s">
        <v>31</v>
      </c>
      <c r="H41" s="966"/>
      <c r="I41" s="202">
        <v>0</v>
      </c>
      <c r="J41" s="196"/>
      <c r="K41" s="155">
        <f>I41</f>
        <v>0</v>
      </c>
      <c r="L41" s="162">
        <f>IF(A41="Y", IF($L$15="BASE-UP",#REF!*2%, IF($L$15="TOP-DOWN",#REF!* 2%,0)),0)</f>
        <v>0</v>
      </c>
      <c r="M41" s="941">
        <f>K41-L41</f>
        <v>0</v>
      </c>
      <c r="N41" s="941">
        <f t="shared" si="8"/>
        <v>0</v>
      </c>
    </row>
    <row r="42" spans="1:14" x14ac:dyDescent="0.2">
      <c r="A42" s="821" t="s">
        <v>7</v>
      </c>
      <c r="B42" s="94"/>
      <c r="C42" s="1446" t="s">
        <v>421</v>
      </c>
      <c r="D42" s="1447"/>
      <c r="E42" s="1447"/>
      <c r="F42" s="1448"/>
      <c r="G42" s="704" t="s">
        <v>230</v>
      </c>
      <c r="H42" s="966" t="s">
        <v>24</v>
      </c>
      <c r="I42" s="202">
        <v>0</v>
      </c>
      <c r="J42" s="196"/>
      <c r="K42" s="155">
        <f t="shared" si="6"/>
        <v>0</v>
      </c>
      <c r="L42" s="162">
        <f>IF(A42="Y", IF($L$15="BASE-UP",#REF!*2%, IF($L$15="TOP-DOWN",#REF!* 2%,0)),0)</f>
        <v>0</v>
      </c>
      <c r="M42" s="941">
        <f t="shared" si="7"/>
        <v>0</v>
      </c>
      <c r="N42" s="941">
        <f t="shared" si="8"/>
        <v>0</v>
      </c>
    </row>
    <row r="43" spans="1:14" x14ac:dyDescent="0.2">
      <c r="A43" s="821" t="s">
        <v>7</v>
      </c>
      <c r="B43" s="94"/>
      <c r="C43" s="1446" t="s">
        <v>225</v>
      </c>
      <c r="D43" s="1447"/>
      <c r="E43" s="1447"/>
      <c r="F43" s="1448"/>
      <c r="G43" s="704" t="s">
        <v>31</v>
      </c>
      <c r="H43" s="966" t="s">
        <v>80</v>
      </c>
      <c r="I43" s="203">
        <v>0</v>
      </c>
      <c r="J43" s="196"/>
      <c r="K43" s="155">
        <f t="shared" si="6"/>
        <v>0</v>
      </c>
      <c r="L43" s="162">
        <f>IF(A43="Y", IF($L$15="BASE-UP",#REF!*2%, IF($L$15="TOP-DOWN",#REF!* 2%,0)),0)</f>
        <v>0</v>
      </c>
      <c r="M43" s="941">
        <f t="shared" si="7"/>
        <v>0</v>
      </c>
      <c r="N43" s="941">
        <f t="shared" si="8"/>
        <v>0</v>
      </c>
    </row>
    <row r="44" spans="1:14" x14ac:dyDescent="0.2">
      <c r="A44" s="821"/>
      <c r="B44" s="94"/>
      <c r="C44" s="1696" t="s">
        <v>224</v>
      </c>
      <c r="D44" s="1697"/>
      <c r="E44" s="1697"/>
      <c r="F44" s="1698"/>
      <c r="G44" s="705" t="s">
        <v>31</v>
      </c>
      <c r="H44" s="967" t="s">
        <v>41</v>
      </c>
      <c r="I44" s="97"/>
      <c r="J44" s="197"/>
      <c r="K44" s="197"/>
      <c r="L44" s="163"/>
      <c r="M44" s="941">
        <f t="shared" si="7"/>
        <v>0</v>
      </c>
      <c r="N44" s="944"/>
    </row>
    <row r="45" spans="1:14" x14ac:dyDescent="0.2">
      <c r="A45" s="825"/>
      <c r="B45" s="826"/>
      <c r="C45" s="826"/>
      <c r="D45" s="826"/>
      <c r="E45" s="827"/>
      <c r="F45" s="827"/>
      <c r="G45" s="127"/>
      <c r="H45" s="127"/>
      <c r="I45" s="127"/>
      <c r="J45" s="828">
        <f>SUM(J18:J44)</f>
        <v>0</v>
      </c>
      <c r="K45" s="828"/>
      <c r="L45" s="828">
        <f>SUM(L18:L44)</f>
        <v>0</v>
      </c>
      <c r="M45" s="945"/>
      <c r="N45" s="945"/>
    </row>
    <row r="46" spans="1:14" x14ac:dyDescent="0.2">
      <c r="A46" s="830"/>
      <c r="B46" s="826"/>
      <c r="C46" s="826"/>
      <c r="D46" s="826"/>
      <c r="E46" s="827"/>
      <c r="F46" s="827"/>
      <c r="G46" s="127"/>
      <c r="H46" s="127"/>
      <c r="I46" s="127"/>
      <c r="J46" s="828"/>
      <c r="K46" s="828"/>
      <c r="L46" s="828"/>
      <c r="M46" s="945"/>
      <c r="N46" s="945"/>
    </row>
    <row r="47" spans="1:14" ht="15.75" thickBot="1" x14ac:dyDescent="0.25">
      <c r="A47" s="980"/>
      <c r="B47" s="1048"/>
      <c r="C47" s="1048"/>
      <c r="D47" s="1048"/>
      <c r="E47" s="1049"/>
      <c r="F47" s="1050" t="s">
        <v>81</v>
      </c>
      <c r="G47" s="1051"/>
      <c r="H47" s="1052" t="s">
        <v>1</v>
      </c>
      <c r="I47" s="1053">
        <f>SUM(I35:I45)</f>
        <v>49</v>
      </c>
      <c r="J47" s="1053"/>
      <c r="K47" s="1053">
        <f>SUM(K35:K44)</f>
        <v>49</v>
      </c>
      <c r="L47" s="1054"/>
      <c r="M47" s="1055">
        <f>SUM(M35:M45)</f>
        <v>49</v>
      </c>
      <c r="N47" s="1056">
        <v>0</v>
      </c>
    </row>
    <row r="48" spans="1:14" ht="15.75" thickTop="1" x14ac:dyDescent="0.2">
      <c r="B48" s="1906"/>
      <c r="C48" s="1907"/>
      <c r="D48" s="1907"/>
      <c r="E48" s="1907"/>
      <c r="F48" s="1907"/>
      <c r="G48" s="1907"/>
      <c r="H48" s="1907"/>
      <c r="I48" s="1907"/>
      <c r="J48" s="1907"/>
      <c r="K48" s="1907"/>
      <c r="L48" s="1907"/>
      <c r="M48" s="1907"/>
    </row>
  </sheetData>
  <mergeCells count="81">
    <mergeCell ref="C25:D25"/>
    <mergeCell ref="C26:D26"/>
    <mergeCell ref="C30:F30"/>
    <mergeCell ref="B48:M48"/>
    <mergeCell ref="C40:F40"/>
    <mergeCell ref="C41:F41"/>
    <mergeCell ref="C42:F42"/>
    <mergeCell ref="C43:F43"/>
    <mergeCell ref="C44:F44"/>
    <mergeCell ref="C38:F38"/>
    <mergeCell ref="C39:F39"/>
    <mergeCell ref="C32:E32"/>
    <mergeCell ref="F32:F33"/>
    <mergeCell ref="C33:E33"/>
    <mergeCell ref="B19:B20"/>
    <mergeCell ref="C24:F24"/>
    <mergeCell ref="C20:F20"/>
    <mergeCell ref="C21:F21"/>
    <mergeCell ref="C22:F22"/>
    <mergeCell ref="C23:F23"/>
    <mergeCell ref="L6:M6"/>
    <mergeCell ref="A3:N3"/>
    <mergeCell ref="I7:K7"/>
    <mergeCell ref="L7:M7"/>
    <mergeCell ref="I8:K8"/>
    <mergeCell ref="L8:M8"/>
    <mergeCell ref="I6:K6"/>
    <mergeCell ref="C14:F15"/>
    <mergeCell ref="A10:C10"/>
    <mergeCell ref="D10:E10"/>
    <mergeCell ref="F10:G10"/>
    <mergeCell ref="A11:C11"/>
    <mergeCell ref="I10:K10"/>
    <mergeCell ref="I11:K11"/>
    <mergeCell ref="F11:G11"/>
    <mergeCell ref="D11:E11"/>
    <mergeCell ref="J14:J16"/>
    <mergeCell ref="K14:K16"/>
    <mergeCell ref="A1:N1"/>
    <mergeCell ref="I4:K4"/>
    <mergeCell ref="L4:M4"/>
    <mergeCell ref="I5:K5"/>
    <mergeCell ref="L5:M5"/>
    <mergeCell ref="C35:F35"/>
    <mergeCell ref="C36:F36"/>
    <mergeCell ref="I9:K9"/>
    <mergeCell ref="L9:M9"/>
    <mergeCell ref="I14:I15"/>
    <mergeCell ref="C31:F31"/>
    <mergeCell ref="L10:M10"/>
    <mergeCell ref="L11:M11"/>
    <mergeCell ref="L13:M13"/>
    <mergeCell ref="L14:L15"/>
    <mergeCell ref="M14:M15"/>
    <mergeCell ref="C17:F17"/>
    <mergeCell ref="C18:F18"/>
    <mergeCell ref="C19:F19"/>
    <mergeCell ref="E25:F29"/>
    <mergeCell ref="C29:D29"/>
    <mergeCell ref="C37:F37"/>
    <mergeCell ref="A6:C6"/>
    <mergeCell ref="D6:E6"/>
    <mergeCell ref="F6:G6"/>
    <mergeCell ref="A9:C9"/>
    <mergeCell ref="D9:E9"/>
    <mergeCell ref="F9:G9"/>
    <mergeCell ref="A7:C7"/>
    <mergeCell ref="D7:E7"/>
    <mergeCell ref="F7:G7"/>
    <mergeCell ref="A8:C8"/>
    <mergeCell ref="D8:E8"/>
    <mergeCell ref="F8:G8"/>
    <mergeCell ref="C27:D27"/>
    <mergeCell ref="C28:D28"/>
    <mergeCell ref="C34:F34"/>
    <mergeCell ref="A4:C4"/>
    <mergeCell ref="D4:E4"/>
    <mergeCell ref="F4:G4"/>
    <mergeCell ref="A5:C5"/>
    <mergeCell ref="D5:E5"/>
    <mergeCell ref="F5:G5"/>
  </mergeCells>
  <conditionalFormatting sqref="I28:M28 I32:K34 I19:K27 I29:K30 L17:M27 J31:K31 N17:N34 N36:N44 L29:M44">
    <cfRule type="cellIs" dxfId="113" priority="5" stopIfTrue="1" operator="equal">
      <formula>0</formula>
    </cfRule>
  </conditionalFormatting>
  <conditionalFormatting sqref="H17:H24 H30 H32:H34">
    <cfRule type="expression" dxfId="112" priority="4" stopIfTrue="1">
      <formula>MOD(ROW(),2)=0</formula>
    </cfRule>
  </conditionalFormatting>
  <conditionalFormatting sqref="H25:H30">
    <cfRule type="expression" dxfId="111" priority="3" stopIfTrue="1">
      <formula>MOD(ROW(), 2)=0</formula>
    </cfRule>
  </conditionalFormatting>
  <conditionalFormatting sqref="N17:N44">
    <cfRule type="cellIs" dxfId="110" priority="2" operator="equal">
      <formula>0</formula>
    </cfRule>
  </conditionalFormatting>
  <conditionalFormatting sqref="E25">
    <cfRule type="cellIs" dxfId="109" priority="1" operator="notEqual">
      <formula>"GC 76000 PA ($" &amp;N11 &amp;" for every 10) breakdown per local board of supervisor resolution (BOS)."</formula>
    </cfRule>
  </conditionalFormatting>
  <pageMargins left="0.7" right="0.7" top="0.75" bottom="0.75" header="0.3" footer="0.3"/>
  <pageSetup scale="65" orientation="landscape" r:id="rId1"/>
  <ignoredErrors>
    <ignoredError sqref="M31 K35 M35" formula="1"/>
    <ignoredError sqref="I38:I39 G18" unlockedFormula="1"/>
    <ignoredError sqref="E25" formulaRange="1"/>
    <ignoredError sqref="N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00753" r:id="rId4" name="Button 17">
              <controlPr defaultSize="0" print="0" autoFill="0" autoPict="0" macro="[4]!mcrDisableTwoPercentNonDUI">
                <anchor moveWithCells="1">
                  <from>
                    <xdr:col>0</xdr:col>
                    <xdr:colOff>28575</xdr:colOff>
                    <xdr:row>13</xdr:row>
                    <xdr:rowOff>266700</xdr:rowOff>
                  </from>
                  <to>
                    <xdr:col>1</xdr:col>
                    <xdr:colOff>0</xdr:colOff>
                    <xdr:row>14</xdr:row>
                    <xdr:rowOff>104775</xdr:rowOff>
                  </to>
                </anchor>
              </controlPr>
            </control>
          </mc:Choice>
        </mc:AlternateContent>
        <mc:AlternateContent xmlns:mc="http://schemas.openxmlformats.org/markup-compatibility/2006">
          <mc:Choice Requires="x14">
            <control shapeId="500754" r:id="rId5" name="Button 18">
              <controlPr defaultSize="0" print="0" autoFill="0" autoPict="0" macro="[4]!mcrEnableTwoPercentNonDUI">
                <anchor moveWithCells="1">
                  <from>
                    <xdr:col>0</xdr:col>
                    <xdr:colOff>9525</xdr:colOff>
                    <xdr:row>13</xdr:row>
                    <xdr:rowOff>638175</xdr:rowOff>
                  </from>
                  <to>
                    <xdr:col>0</xdr:col>
                    <xdr:colOff>276225</xdr:colOff>
                    <xdr:row>15</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AB53"/>
  <sheetViews>
    <sheetView showGridLines="0" zoomScale="70" zoomScaleNormal="70" zoomScaleSheetLayoutView="70" workbookViewId="0">
      <selection activeCell="S20" sqref="S20"/>
    </sheetView>
  </sheetViews>
  <sheetFormatPr defaultRowHeight="18.75" x14ac:dyDescent="0.2"/>
  <cols>
    <col min="1" max="1" width="4.28515625" style="98" customWidth="1"/>
    <col min="2" max="2" width="6.28515625" style="98" customWidth="1"/>
    <col min="3" max="3" width="13.5703125" style="98" customWidth="1"/>
    <col min="4" max="4" width="12" style="98" customWidth="1"/>
    <col min="5" max="5" width="9.42578125" style="99" customWidth="1"/>
    <col min="6" max="6" width="46" style="133" customWidth="1"/>
    <col min="7" max="7" width="16.42578125" style="50" customWidth="1"/>
    <col min="8" max="8" width="7.28515625" style="50" hidden="1" customWidth="1"/>
    <col min="9" max="9" width="13.28515625" style="50" customWidth="1"/>
    <col min="10" max="10" width="5.7109375" style="50" hidden="1" customWidth="1"/>
    <col min="11" max="11" width="9.7109375" style="50" customWidth="1"/>
    <col min="12" max="12" width="13.42578125" style="103" customWidth="1"/>
    <col min="13" max="13" width="16.85546875" style="50" customWidth="1"/>
    <col min="14" max="14" width="9.5703125" style="50" customWidth="1"/>
    <col min="15" max="15" width="13.42578125" style="50" bestFit="1" customWidth="1"/>
    <col min="16" max="16" width="6" style="100" bestFit="1" customWidth="1"/>
    <col min="17" max="17" width="10.85546875" style="100" customWidth="1"/>
    <col min="18" max="18" width="6.42578125" style="100" customWidth="1"/>
    <col min="19" max="19" width="10.7109375" style="100" customWidth="1"/>
    <col min="20" max="20" width="1.85546875" style="137" customWidth="1"/>
    <col min="21" max="21" width="12.42578125" style="101" customWidth="1"/>
    <col min="22" max="22" width="5.85546875" style="101" customWidth="1"/>
    <col min="23" max="23" width="18.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30" customHeight="1" thickBot="1" x14ac:dyDescent="0.25">
      <c r="A1" s="1273" t="s">
        <v>600</v>
      </c>
      <c r="B1" s="1274"/>
      <c r="C1" s="1274"/>
      <c r="D1" s="1274"/>
      <c r="E1" s="1274"/>
      <c r="F1" s="1274"/>
      <c r="G1" s="1274"/>
      <c r="H1" s="1274"/>
      <c r="I1" s="1274"/>
      <c r="J1" s="1274"/>
      <c r="K1" s="1274"/>
      <c r="L1" s="1274"/>
      <c r="M1" s="1908"/>
      <c r="N1" s="1908"/>
      <c r="O1" s="1909"/>
      <c r="P1" s="137"/>
      <c r="Q1" s="882"/>
      <c r="R1" s="882"/>
      <c r="S1" s="882"/>
      <c r="T1" s="882"/>
      <c r="U1" s="882"/>
      <c r="V1" s="882"/>
      <c r="W1" s="882"/>
      <c r="X1" s="50"/>
      <c r="Y1" s="50"/>
      <c r="Z1" s="50"/>
      <c r="AA1" s="50"/>
      <c r="AB1" s="50"/>
    </row>
    <row r="2" spans="1:28" s="54" customFormat="1" ht="19.5" thickBot="1" x14ac:dyDescent="0.25">
      <c r="A2" s="815"/>
      <c r="B2" s="51"/>
      <c r="C2" s="51"/>
      <c r="D2" s="51"/>
      <c r="E2" s="51"/>
      <c r="F2" s="51"/>
      <c r="G2" s="51"/>
      <c r="H2" s="51"/>
      <c r="I2" s="51"/>
      <c r="J2" s="51"/>
      <c r="K2" s="52"/>
      <c r="L2" s="52"/>
      <c r="M2" s="52"/>
      <c r="N2" s="52"/>
      <c r="O2" s="816"/>
      <c r="P2" s="52"/>
      <c r="Q2" s="52"/>
      <c r="R2" s="52"/>
      <c r="S2" s="52"/>
      <c r="T2" s="52"/>
      <c r="U2" s="52"/>
      <c r="V2" s="52"/>
      <c r="W2" s="52"/>
    </row>
    <row r="3" spans="1:28" s="54" customFormat="1" ht="19.5" thickBot="1" x14ac:dyDescent="0.25">
      <c r="A3" s="1675" t="s">
        <v>234</v>
      </c>
      <c r="B3" s="1676"/>
      <c r="C3" s="1676"/>
      <c r="D3" s="1676"/>
      <c r="E3" s="1676"/>
      <c r="F3" s="1676"/>
      <c r="G3" s="1676"/>
      <c r="H3" s="1676"/>
      <c r="I3" s="1676"/>
      <c r="J3" s="1676"/>
      <c r="K3" s="1676"/>
      <c r="L3" s="1676"/>
      <c r="M3" s="1676"/>
      <c r="N3" s="1676"/>
      <c r="O3" s="1677"/>
      <c r="P3" s="237"/>
    </row>
    <row r="4" spans="1:28" s="57" customFormat="1" ht="15.75" x14ac:dyDescent="0.2">
      <c r="A4" s="1379" t="s">
        <v>231</v>
      </c>
      <c r="B4" s="1380"/>
      <c r="C4" s="1380"/>
      <c r="D4" s="1335"/>
      <c r="E4" s="1336"/>
      <c r="F4" s="1300" t="s">
        <v>563</v>
      </c>
      <c r="G4" s="1301"/>
      <c r="H4" s="208"/>
      <c r="I4" s="1795"/>
      <c r="J4" s="1795"/>
      <c r="K4" s="1795"/>
      <c r="L4" s="1795"/>
      <c r="M4" s="1383" t="s">
        <v>257</v>
      </c>
      <c r="N4" s="1383"/>
      <c r="O4" s="209">
        <v>0</v>
      </c>
      <c r="P4" s="238"/>
    </row>
    <row r="5" spans="1:28" s="57" customFormat="1" ht="15.75" x14ac:dyDescent="0.2">
      <c r="A5" s="1384" t="s">
        <v>4</v>
      </c>
      <c r="B5" s="1385"/>
      <c r="C5" s="1385"/>
      <c r="D5" s="1289"/>
      <c r="E5" s="1283"/>
      <c r="F5" s="1386" t="s">
        <v>244</v>
      </c>
      <c r="G5" s="1387"/>
      <c r="H5" s="185"/>
      <c r="I5" s="1393"/>
      <c r="J5" s="1393"/>
      <c r="K5" s="1393"/>
      <c r="L5" s="1393"/>
      <c r="M5" s="1388" t="s">
        <v>22</v>
      </c>
      <c r="N5" s="1388"/>
      <c r="O5" s="58"/>
      <c r="P5" s="238"/>
    </row>
    <row r="6" spans="1:28" s="57" customFormat="1" ht="15.75" x14ac:dyDescent="0.2">
      <c r="A6" s="1384" t="s">
        <v>12</v>
      </c>
      <c r="B6" s="1385"/>
      <c r="C6" s="1385"/>
      <c r="D6" s="1289"/>
      <c r="E6" s="1290"/>
      <c r="F6" s="1386" t="s">
        <v>20</v>
      </c>
      <c r="G6" s="1387"/>
      <c r="H6" s="185"/>
      <c r="I6" s="1776"/>
      <c r="J6" s="1776"/>
      <c r="K6" s="1776"/>
      <c r="L6" s="1776"/>
      <c r="M6" s="1389" t="s">
        <v>233</v>
      </c>
      <c r="N6" s="1389"/>
      <c r="O6" s="212">
        <f>O4+O5*10</f>
        <v>0</v>
      </c>
      <c r="P6" s="238"/>
    </row>
    <row r="7" spans="1:28" s="57" customFormat="1" ht="16.5" thickBot="1" x14ac:dyDescent="0.25">
      <c r="A7" s="2150" t="s">
        <v>5</v>
      </c>
      <c r="B7" s="2151"/>
      <c r="C7" s="2151"/>
      <c r="D7" s="1777"/>
      <c r="E7" s="2152"/>
      <c r="F7" s="1693" t="s">
        <v>21</v>
      </c>
      <c r="G7" s="1664"/>
      <c r="H7" s="241"/>
      <c r="I7" s="1776"/>
      <c r="J7" s="1776"/>
      <c r="K7" s="1776"/>
      <c r="L7" s="1776"/>
      <c r="M7" s="241"/>
      <c r="N7" s="2153"/>
      <c r="O7" s="2154"/>
      <c r="P7" s="238"/>
    </row>
    <row r="8" spans="1:28" s="57" customFormat="1" ht="15.75" customHeight="1" x14ac:dyDescent="0.2">
      <c r="A8" s="2155" t="s">
        <v>54</v>
      </c>
      <c r="B8" s="2156"/>
      <c r="C8" s="2156"/>
      <c r="D8" s="2157">
        <v>0</v>
      </c>
      <c r="E8" s="2158"/>
      <c r="F8" s="1783" t="s">
        <v>564</v>
      </c>
      <c r="G8" s="1784"/>
      <c r="H8" s="791"/>
      <c r="I8" s="1785"/>
      <c r="J8" s="1785"/>
      <c r="K8" s="1785"/>
      <c r="L8" s="1785"/>
      <c r="M8" s="1380" t="s">
        <v>257</v>
      </c>
      <c r="N8" s="1380"/>
      <c r="O8" s="55"/>
      <c r="P8" s="239"/>
    </row>
    <row r="9" spans="1:28" s="57" customFormat="1" ht="20.25" customHeight="1" x14ac:dyDescent="0.2">
      <c r="A9" s="1402" t="s">
        <v>53</v>
      </c>
      <c r="B9" s="1403"/>
      <c r="C9" s="1403"/>
      <c r="D9" s="1404">
        <f>100%-D8</f>
        <v>1</v>
      </c>
      <c r="E9" s="1549"/>
      <c r="F9" s="1386" t="s">
        <v>244</v>
      </c>
      <c r="G9" s="1387"/>
      <c r="H9" s="790"/>
      <c r="I9" s="1393"/>
      <c r="J9" s="1393"/>
      <c r="K9" s="1393"/>
      <c r="L9" s="1393"/>
      <c r="M9" s="1387" t="s">
        <v>22</v>
      </c>
      <c r="N9" s="1387"/>
      <c r="O9" s="58"/>
      <c r="P9" s="239"/>
    </row>
    <row r="10" spans="1:28" s="57" customFormat="1" ht="24.75" customHeight="1" thickBot="1" x14ac:dyDescent="0.25">
      <c r="A10" s="1436" t="s">
        <v>276</v>
      </c>
      <c r="B10" s="1437"/>
      <c r="C10" s="1437"/>
      <c r="D10" s="1910">
        <f>O6+O10</f>
        <v>0</v>
      </c>
      <c r="E10" s="1911"/>
      <c r="F10" s="1912" t="s">
        <v>20</v>
      </c>
      <c r="G10" s="1913"/>
      <c r="H10" s="958"/>
      <c r="I10" s="1914"/>
      <c r="J10" s="1914"/>
      <c r="K10" s="1914"/>
      <c r="L10" s="1914"/>
      <c r="M10" s="1913" t="s">
        <v>233</v>
      </c>
      <c r="N10" s="1913"/>
      <c r="O10" s="788">
        <f>O8+O9*10</f>
        <v>0</v>
      </c>
      <c r="P10" s="240"/>
    </row>
    <row r="11" spans="1:28" s="57" customFormat="1" ht="19.5" customHeight="1" thickBot="1" x14ac:dyDescent="0.25">
      <c r="A11" s="1439" t="s">
        <v>277</v>
      </c>
      <c r="B11" s="1440"/>
      <c r="C11" s="1440"/>
      <c r="D11" s="1649">
        <f>ROUNDUP(D10/10,0)</f>
        <v>0</v>
      </c>
      <c r="E11" s="1753"/>
      <c r="F11" s="1398" t="s">
        <v>21</v>
      </c>
      <c r="G11" s="1399"/>
      <c r="H11" s="792"/>
      <c r="I11" s="1754"/>
      <c r="J11" s="1754"/>
      <c r="K11" s="1754"/>
      <c r="L11" s="1754"/>
      <c r="M11" s="1767" t="s">
        <v>565</v>
      </c>
      <c r="N11" s="1767"/>
      <c r="O11" s="840">
        <f>'Local Penalties'!B8</f>
        <v>5</v>
      </c>
      <c r="P11" s="240"/>
    </row>
    <row r="12" spans="1:28" s="57" customFormat="1" ht="19.5" thickBot="1" x14ac:dyDescent="0.25">
      <c r="A12" s="866"/>
      <c r="B12" s="867"/>
      <c r="C12" s="817"/>
      <c r="D12" s="817"/>
      <c r="E12" s="817"/>
      <c r="F12" s="66"/>
      <c r="G12" s="59"/>
      <c r="H12" s="60"/>
      <c r="I12" s="61"/>
      <c r="J12" s="61"/>
      <c r="K12" s="61"/>
      <c r="L12" s="61"/>
      <c r="M12" s="813"/>
      <c r="N12" s="813"/>
      <c r="O12" s="818"/>
      <c r="P12" s="56"/>
      <c r="Q12" s="56"/>
      <c r="R12" s="56"/>
      <c r="S12" s="56"/>
      <c r="T12" s="56"/>
      <c r="U12" s="63"/>
      <c r="V12" s="63"/>
      <c r="W12" s="64"/>
      <c r="AA12" s="65"/>
    </row>
    <row r="13" spans="1:28" s="109" customFormat="1" ht="19.5" thickBot="1" x14ac:dyDescent="0.25">
      <c r="A13" s="819"/>
      <c r="B13" s="192"/>
      <c r="C13" s="192"/>
      <c r="D13" s="192"/>
      <c r="E13" s="192"/>
      <c r="F13" s="107"/>
      <c r="G13" s="814"/>
      <c r="H13" s="820"/>
      <c r="I13" s="1758" t="s">
        <v>297</v>
      </c>
      <c r="J13" s="1759"/>
      <c r="K13" s="1759"/>
      <c r="L13" s="1760"/>
      <c r="M13" s="1764" t="s">
        <v>582</v>
      </c>
      <c r="N13" s="1765"/>
      <c r="O13" s="1766"/>
      <c r="P13" s="226"/>
      <c r="Q13" s="158"/>
      <c r="R13" s="158"/>
      <c r="S13" s="159"/>
      <c r="T13" s="108"/>
      <c r="U13" s="108"/>
      <c r="V13" s="108"/>
      <c r="W13" s="108"/>
      <c r="X13" s="108"/>
    </row>
    <row r="14" spans="1:28" ht="47.25" customHeight="1" thickBot="1" x14ac:dyDescent="0.25">
      <c r="A14" s="952">
        <v>0.02</v>
      </c>
      <c r="B14" s="1231" t="s">
        <v>58</v>
      </c>
      <c r="C14" s="1922" t="s">
        <v>226</v>
      </c>
      <c r="D14" s="1406"/>
      <c r="E14" s="1406"/>
      <c r="F14" s="1406"/>
      <c r="G14" s="1925" t="s">
        <v>249</v>
      </c>
      <c r="H14" s="1235" t="s">
        <v>0</v>
      </c>
      <c r="I14" s="1236" t="s">
        <v>298</v>
      </c>
      <c r="J14" s="1237" t="s">
        <v>252</v>
      </c>
      <c r="K14" s="1406" t="s">
        <v>6</v>
      </c>
      <c r="L14" s="1575" t="s">
        <v>299</v>
      </c>
      <c r="M14" s="929" t="s">
        <v>428</v>
      </c>
      <c r="N14" s="1562" t="s">
        <v>6</v>
      </c>
      <c r="O14" s="1927" t="s">
        <v>299</v>
      </c>
      <c r="P14" s="228"/>
      <c r="Q14" s="54"/>
      <c r="R14" s="54"/>
      <c r="S14" s="54"/>
      <c r="T14" s="54"/>
      <c r="U14" s="54"/>
      <c r="V14" s="50"/>
      <c r="W14" s="50"/>
      <c r="X14" s="50"/>
      <c r="Y14" s="50"/>
      <c r="Z14" s="50"/>
      <c r="AA14" s="50"/>
      <c r="AB14" s="50"/>
    </row>
    <row r="15" spans="1:28" ht="2.25" customHeight="1" thickBot="1" x14ac:dyDescent="0.25">
      <c r="A15" s="953"/>
      <c r="B15" s="1233"/>
      <c r="C15" s="1923"/>
      <c r="D15" s="1572"/>
      <c r="E15" s="1572"/>
      <c r="F15" s="1572"/>
      <c r="G15" s="1926"/>
      <c r="H15" s="1238"/>
      <c r="I15" s="1239"/>
      <c r="J15" s="1240" t="e">
        <f>J35/I35</f>
        <v>#DIV/0!</v>
      </c>
      <c r="K15" s="1572"/>
      <c r="L15" s="1924"/>
      <c r="M15" s="930" t="e">
        <f>(M35-M31)/(I35-I31)</f>
        <v>#DIV/0!</v>
      </c>
      <c r="N15" s="1565"/>
      <c r="O15" s="1478"/>
      <c r="P15" s="228"/>
      <c r="Q15" s="54"/>
      <c r="R15" s="54"/>
      <c r="S15" s="54"/>
      <c r="T15" s="54"/>
      <c r="U15" s="54"/>
      <c r="V15" s="50"/>
      <c r="W15" s="50"/>
      <c r="X15" s="50"/>
      <c r="Y15" s="50"/>
      <c r="Z15" s="50"/>
      <c r="AA15" s="50"/>
      <c r="AB15" s="50"/>
    </row>
    <row r="16" spans="1:28" s="74" customFormat="1" ht="18" customHeight="1" x14ac:dyDescent="0.2">
      <c r="A16" s="821" t="s">
        <v>8</v>
      </c>
      <c r="B16" s="1915" t="s">
        <v>241</v>
      </c>
      <c r="C16" s="1916" t="s">
        <v>488</v>
      </c>
      <c r="D16" s="1917"/>
      <c r="E16" s="1917"/>
      <c r="F16" s="1918"/>
      <c r="G16" s="954" t="s">
        <v>32</v>
      </c>
      <c r="H16" s="842" t="s">
        <v>14</v>
      </c>
      <c r="I16" s="843">
        <v>0</v>
      </c>
      <c r="J16" s="904">
        <f>I16</f>
        <v>0</v>
      </c>
      <c r="K16" s="903">
        <f t="shared" ref="K16:K34" si="0">IF(A16="Y", I16*2%,0)</f>
        <v>0</v>
      </c>
      <c r="L16" s="998">
        <f t="shared" ref="L16:L34" si="1">I16-K16</f>
        <v>0</v>
      </c>
      <c r="M16" s="931">
        <f>IF($M$49=0,,IF($M$15*$I$16&gt;50,$I$16,$M$15*$I$16))</f>
        <v>0</v>
      </c>
      <c r="N16" s="927">
        <f t="shared" ref="N16:N34" si="2">IF(A16="Y", M16*2%,)</f>
        <v>0</v>
      </c>
      <c r="O16" s="940">
        <f>M16-N16</f>
        <v>0</v>
      </c>
      <c r="P16" s="937"/>
      <c r="Q16" s="125"/>
      <c r="R16" s="125"/>
      <c r="S16" s="125"/>
      <c r="T16" s="125"/>
      <c r="U16" s="125"/>
    </row>
    <row r="17" spans="1:21" s="74" customFormat="1" ht="20.25" customHeight="1" x14ac:dyDescent="0.2">
      <c r="A17" s="821" t="s">
        <v>8</v>
      </c>
      <c r="B17" s="1660"/>
      <c r="C17" s="1919" t="s">
        <v>489</v>
      </c>
      <c r="D17" s="1920"/>
      <c r="E17" s="1920"/>
      <c r="F17" s="1921"/>
      <c r="G17" s="902" t="s">
        <v>32</v>
      </c>
      <c r="H17" s="844" t="s">
        <v>14</v>
      </c>
      <c r="I17" s="845">
        <v>0</v>
      </c>
      <c r="J17" s="905">
        <f>I17</f>
        <v>0</v>
      </c>
      <c r="K17" s="903">
        <f t="shared" si="0"/>
        <v>0</v>
      </c>
      <c r="L17" s="994">
        <f t="shared" si="1"/>
        <v>0</v>
      </c>
      <c r="M17" s="932">
        <f>IF($M$49=0,,IF($M$15*$I$17&gt;50,$I$17,$M$15*$I$17))</f>
        <v>0</v>
      </c>
      <c r="N17" s="927">
        <f t="shared" si="2"/>
        <v>0</v>
      </c>
      <c r="O17" s="941">
        <f>M17-N17</f>
        <v>0</v>
      </c>
      <c r="P17" s="937"/>
      <c r="Q17" s="125"/>
      <c r="R17" s="125"/>
      <c r="S17" s="125"/>
      <c r="T17" s="125"/>
      <c r="U17" s="125"/>
    </row>
    <row r="18" spans="1:21" s="74" customFormat="1" ht="20.25" customHeight="1" x14ac:dyDescent="0.2">
      <c r="A18" s="821" t="s">
        <v>8</v>
      </c>
      <c r="B18" s="1660"/>
      <c r="C18" s="1919" t="s">
        <v>493</v>
      </c>
      <c r="D18" s="1920"/>
      <c r="E18" s="1920"/>
      <c r="F18" s="1921"/>
      <c r="G18" s="902" t="s">
        <v>31</v>
      </c>
      <c r="H18" s="844" t="s">
        <v>51</v>
      </c>
      <c r="I18" s="845">
        <v>0</v>
      </c>
      <c r="J18" s="905">
        <f>I18</f>
        <v>0</v>
      </c>
      <c r="K18" s="903">
        <f t="shared" si="0"/>
        <v>0</v>
      </c>
      <c r="L18" s="994">
        <f t="shared" si="1"/>
        <v>0</v>
      </c>
      <c r="M18" s="932">
        <f>IF($M$49=0,,IF($M$15*$I$18&gt;20,$I$18,$M$15*$I$18))</f>
        <v>0</v>
      </c>
      <c r="N18" s="927">
        <f t="shared" si="2"/>
        <v>0</v>
      </c>
      <c r="O18" s="941">
        <f t="shared" ref="O18:O46" si="3">M18-N18</f>
        <v>0</v>
      </c>
      <c r="P18" s="937"/>
      <c r="Q18" s="125"/>
      <c r="R18" s="125"/>
      <c r="S18" s="125"/>
      <c r="T18" s="125"/>
      <c r="U18" s="125"/>
    </row>
    <row r="19" spans="1:21" s="74" customFormat="1" ht="20.25" customHeight="1" x14ac:dyDescent="0.2">
      <c r="A19" s="821" t="s">
        <v>8</v>
      </c>
      <c r="B19" s="1660"/>
      <c r="C19" s="1665" t="s">
        <v>212</v>
      </c>
      <c r="D19" s="1700"/>
      <c r="E19" s="1700"/>
      <c r="F19" s="1701"/>
      <c r="G19" s="950" t="s">
        <v>32</v>
      </c>
      <c r="H19" s="77" t="s">
        <v>27</v>
      </c>
      <c r="I19" s="155">
        <f>(D10-SUM(I16:I18))*D8</f>
        <v>0</v>
      </c>
      <c r="J19" s="155" t="e">
        <f>((SUM(I16:I20)*J15)-SUM(J16:J18))*D8</f>
        <v>#DIV/0!</v>
      </c>
      <c r="K19" s="162">
        <f t="shared" si="0"/>
        <v>0</v>
      </c>
      <c r="L19" s="960">
        <f t="shared" si="1"/>
        <v>0</v>
      </c>
      <c r="M19" s="932">
        <f>IF($M$49=0,,(($M$15*$D$10)-SUM($M$16:$M$18))*D8)</f>
        <v>0</v>
      </c>
      <c r="N19" s="927">
        <f t="shared" si="2"/>
        <v>0</v>
      </c>
      <c r="O19" s="941">
        <f t="shared" si="3"/>
        <v>0</v>
      </c>
      <c r="P19" s="937"/>
      <c r="Q19" s="125"/>
      <c r="R19" s="125"/>
      <c r="S19" s="125"/>
      <c r="T19" s="125"/>
      <c r="U19" s="125"/>
    </row>
    <row r="20" spans="1:21" s="74" customFormat="1" ht="18" customHeight="1" x14ac:dyDescent="0.2">
      <c r="A20" s="821" t="s">
        <v>8</v>
      </c>
      <c r="B20" s="1661"/>
      <c r="C20" s="1665" t="s">
        <v>213</v>
      </c>
      <c r="D20" s="1700"/>
      <c r="E20" s="1700"/>
      <c r="F20" s="1701"/>
      <c r="G20" s="950" t="s">
        <v>52</v>
      </c>
      <c r="H20" s="77" t="s">
        <v>25</v>
      </c>
      <c r="I20" s="155">
        <f>(D10-SUM(I16:I18))*D9</f>
        <v>0</v>
      </c>
      <c r="J20" s="155" t="e">
        <f>((SUM(I16:I20)*J15)-SUM(J16:J18))*D9</f>
        <v>#DIV/0!</v>
      </c>
      <c r="K20" s="162">
        <f t="shared" si="0"/>
        <v>0</v>
      </c>
      <c r="L20" s="960">
        <f t="shared" si="1"/>
        <v>0</v>
      </c>
      <c r="M20" s="932">
        <f>IF($M$49=0,,(($M$15*$D$10)-SUM($M$16:$M$18))*D9)</f>
        <v>0</v>
      </c>
      <c r="N20" s="927">
        <f t="shared" si="2"/>
        <v>0</v>
      </c>
      <c r="O20" s="941">
        <f t="shared" si="3"/>
        <v>0</v>
      </c>
      <c r="P20" s="937"/>
      <c r="Q20" s="125"/>
      <c r="R20" s="125"/>
      <c r="S20" s="125"/>
      <c r="T20" s="125"/>
      <c r="U20" s="125"/>
    </row>
    <row r="21" spans="1:21" s="74" customFormat="1" ht="19.5" customHeight="1" x14ac:dyDescent="0.2">
      <c r="A21" s="821" t="s">
        <v>8</v>
      </c>
      <c r="B21" s="75">
        <v>7</v>
      </c>
      <c r="C21" s="1665" t="s">
        <v>546</v>
      </c>
      <c r="D21" s="1700"/>
      <c r="E21" s="1700"/>
      <c r="F21" s="1701"/>
      <c r="G21" s="950" t="s">
        <v>31</v>
      </c>
      <c r="H21" s="77" t="s">
        <v>26</v>
      </c>
      <c r="I21" s="155">
        <f>$D$11*B21</f>
        <v>0</v>
      </c>
      <c r="J21" s="155" t="e">
        <f>$J$15*I21</f>
        <v>#DIV/0!</v>
      </c>
      <c r="K21" s="162">
        <f t="shared" si="0"/>
        <v>0</v>
      </c>
      <c r="L21" s="960">
        <f t="shared" si="1"/>
        <v>0</v>
      </c>
      <c r="M21" s="932">
        <f t="shared" ref="M21:M34" si="4">IF($M$49=0,,$M$15*I21)</f>
        <v>0</v>
      </c>
      <c r="N21" s="927">
        <f t="shared" si="2"/>
        <v>0</v>
      </c>
      <c r="O21" s="941">
        <f t="shared" si="3"/>
        <v>0</v>
      </c>
      <c r="P21" s="937"/>
      <c r="Q21" s="125"/>
      <c r="S21" s="125"/>
      <c r="T21" s="125"/>
      <c r="U21" s="125"/>
    </row>
    <row r="22" spans="1:21" s="74" customFormat="1" ht="24.75" customHeight="1" x14ac:dyDescent="0.2">
      <c r="A22" s="821" t="s">
        <v>8</v>
      </c>
      <c r="B22" s="75">
        <v>3</v>
      </c>
      <c r="C22" s="1665" t="s">
        <v>547</v>
      </c>
      <c r="D22" s="1700"/>
      <c r="E22" s="1700"/>
      <c r="F22" s="1701"/>
      <c r="G22" s="950" t="s">
        <v>32</v>
      </c>
      <c r="H22" s="77" t="s">
        <v>27</v>
      </c>
      <c r="I22" s="155">
        <f t="shared" ref="I22:I33" si="5">$D$11*B22</f>
        <v>0</v>
      </c>
      <c r="J22" s="155" t="e">
        <f t="shared" ref="J22:J34" si="6">$J$15*I22</f>
        <v>#DIV/0!</v>
      </c>
      <c r="K22" s="162">
        <f t="shared" si="0"/>
        <v>0</v>
      </c>
      <c r="L22" s="960">
        <f t="shared" si="1"/>
        <v>0</v>
      </c>
      <c r="M22" s="932">
        <f t="shared" si="4"/>
        <v>0</v>
      </c>
      <c r="N22" s="927">
        <f t="shared" si="2"/>
        <v>0</v>
      </c>
      <c r="O22" s="941">
        <f t="shared" si="3"/>
        <v>0</v>
      </c>
      <c r="P22" s="937"/>
      <c r="Q22" s="125"/>
      <c r="R22" s="125"/>
      <c r="S22" s="125"/>
      <c r="T22" s="125"/>
      <c r="U22" s="125"/>
    </row>
    <row r="23" spans="1:21" s="74" customFormat="1" ht="15" customHeight="1" x14ac:dyDescent="0.2">
      <c r="A23" s="821" t="s">
        <v>8</v>
      </c>
      <c r="B23" s="75">
        <v>1</v>
      </c>
      <c r="C23" s="1665" t="s">
        <v>216</v>
      </c>
      <c r="D23" s="1700"/>
      <c r="E23" s="1700"/>
      <c r="F23" s="1701"/>
      <c r="G23" s="950" t="s">
        <v>32</v>
      </c>
      <c r="H23" s="77" t="s">
        <v>55</v>
      </c>
      <c r="I23" s="155">
        <f t="shared" si="5"/>
        <v>0</v>
      </c>
      <c r="J23" s="155" t="e">
        <f t="shared" si="6"/>
        <v>#DIV/0!</v>
      </c>
      <c r="K23" s="162">
        <f t="shared" si="0"/>
        <v>0</v>
      </c>
      <c r="L23" s="960">
        <f t="shared" si="1"/>
        <v>0</v>
      </c>
      <c r="M23" s="932">
        <f t="shared" si="4"/>
        <v>0</v>
      </c>
      <c r="N23" s="927">
        <f t="shared" si="2"/>
        <v>0</v>
      </c>
      <c r="O23" s="941">
        <f t="shared" si="3"/>
        <v>0</v>
      </c>
      <c r="P23" s="937"/>
      <c r="Q23" s="125"/>
      <c r="R23" s="125"/>
      <c r="S23" s="125"/>
      <c r="T23" s="125"/>
      <c r="U23" s="125"/>
    </row>
    <row r="24" spans="1:21" s="74" customFormat="1" ht="24.75" customHeight="1" x14ac:dyDescent="0.2">
      <c r="A24" s="821" t="s">
        <v>8</v>
      </c>
      <c r="B24" s="75">
        <v>4</v>
      </c>
      <c r="C24" s="1665" t="s">
        <v>466</v>
      </c>
      <c r="D24" s="1700"/>
      <c r="E24" s="1700"/>
      <c r="F24" s="1701"/>
      <c r="G24" s="950" t="s">
        <v>31</v>
      </c>
      <c r="H24" s="77" t="s">
        <v>72</v>
      </c>
      <c r="I24" s="155">
        <f t="shared" si="5"/>
        <v>0</v>
      </c>
      <c r="J24" s="155" t="e">
        <f t="shared" si="6"/>
        <v>#DIV/0!</v>
      </c>
      <c r="K24" s="162">
        <f t="shared" si="0"/>
        <v>0</v>
      </c>
      <c r="L24" s="960">
        <f t="shared" si="1"/>
        <v>0</v>
      </c>
      <c r="M24" s="932">
        <f t="shared" si="4"/>
        <v>0</v>
      </c>
      <c r="N24" s="927">
        <f t="shared" si="2"/>
        <v>0</v>
      </c>
      <c r="O24" s="941">
        <f t="shared" si="3"/>
        <v>0</v>
      </c>
      <c r="P24" s="937"/>
      <c r="Q24" s="125"/>
      <c r="R24" s="125"/>
      <c r="S24" s="125"/>
      <c r="T24" s="125"/>
      <c r="U24" s="125"/>
    </row>
    <row r="25" spans="1:21" s="74" customFormat="1" ht="15" customHeight="1" x14ac:dyDescent="0.2">
      <c r="A25" s="821" t="s">
        <v>8</v>
      </c>
      <c r="B25" s="178">
        <v>0</v>
      </c>
      <c r="C25" s="1665" t="s">
        <v>217</v>
      </c>
      <c r="D25" s="1701"/>
      <c r="E25" s="1739" t="str">
        <f>IF(SUM(B25:B29)=O11,"GC 76000 PA ($" &amp;O11 &amp; " for every 10) breakdown = local Board of Supervisor resolution (BOS).","ERROR! GC 76000 PA total is not $" &amp;O11&amp; ". Check local Board of Supervisor resolution.")</f>
        <v>ERROR! GC 76000 PA total is not $5. Check local Board of Supervisor resolution.</v>
      </c>
      <c r="F25" s="1740"/>
      <c r="G25" s="950" t="s">
        <v>32</v>
      </c>
      <c r="H25" s="77" t="s">
        <v>64</v>
      </c>
      <c r="I25" s="155">
        <f t="shared" si="5"/>
        <v>0</v>
      </c>
      <c r="J25" s="155" t="e">
        <f t="shared" si="6"/>
        <v>#DIV/0!</v>
      </c>
      <c r="K25" s="162">
        <f t="shared" si="0"/>
        <v>0</v>
      </c>
      <c r="L25" s="960">
        <f t="shared" si="1"/>
        <v>0</v>
      </c>
      <c r="M25" s="932">
        <f t="shared" si="4"/>
        <v>0</v>
      </c>
      <c r="N25" s="927">
        <f t="shared" si="2"/>
        <v>0</v>
      </c>
      <c r="O25" s="941">
        <f t="shared" si="3"/>
        <v>0</v>
      </c>
      <c r="P25" s="937"/>
      <c r="Q25" s="125"/>
      <c r="R25" s="125"/>
      <c r="S25" s="125"/>
      <c r="T25" s="125"/>
      <c r="U25" s="125"/>
    </row>
    <row r="26" spans="1:21" s="74" customFormat="1" ht="15" customHeight="1" x14ac:dyDescent="0.2">
      <c r="A26" s="821" t="s">
        <v>8</v>
      </c>
      <c r="B26" s="178">
        <v>0</v>
      </c>
      <c r="C26" s="1665" t="s">
        <v>218</v>
      </c>
      <c r="D26" s="1701"/>
      <c r="E26" s="1741"/>
      <c r="F26" s="1742"/>
      <c r="G26" s="950" t="s">
        <v>32</v>
      </c>
      <c r="H26" s="77" t="s">
        <v>35</v>
      </c>
      <c r="I26" s="155">
        <f t="shared" si="5"/>
        <v>0</v>
      </c>
      <c r="J26" s="155" t="e">
        <f t="shared" si="6"/>
        <v>#DIV/0!</v>
      </c>
      <c r="K26" s="162">
        <f t="shared" si="0"/>
        <v>0</v>
      </c>
      <c r="L26" s="960">
        <f t="shared" si="1"/>
        <v>0</v>
      </c>
      <c r="M26" s="932">
        <f t="shared" si="4"/>
        <v>0</v>
      </c>
      <c r="N26" s="927">
        <f t="shared" si="2"/>
        <v>0</v>
      </c>
      <c r="O26" s="941">
        <f t="shared" si="3"/>
        <v>0</v>
      </c>
      <c r="P26" s="937"/>
      <c r="Q26" s="125"/>
      <c r="R26" s="125"/>
      <c r="S26" s="125"/>
      <c r="T26" s="125"/>
      <c r="U26" s="125"/>
    </row>
    <row r="27" spans="1:21" s="74" customFormat="1" ht="15" customHeight="1" x14ac:dyDescent="0.2">
      <c r="A27" s="821" t="s">
        <v>8</v>
      </c>
      <c r="B27" s="178">
        <v>0</v>
      </c>
      <c r="C27" s="1665" t="s">
        <v>219</v>
      </c>
      <c r="D27" s="1701"/>
      <c r="E27" s="1741"/>
      <c r="F27" s="1742"/>
      <c r="G27" s="950" t="s">
        <v>32</v>
      </c>
      <c r="H27" s="77" t="s">
        <v>65</v>
      </c>
      <c r="I27" s="155">
        <f t="shared" si="5"/>
        <v>0</v>
      </c>
      <c r="J27" s="155" t="e">
        <f t="shared" si="6"/>
        <v>#DIV/0!</v>
      </c>
      <c r="K27" s="162">
        <f t="shared" si="0"/>
        <v>0</v>
      </c>
      <c r="L27" s="960">
        <f t="shared" si="1"/>
        <v>0</v>
      </c>
      <c r="M27" s="932">
        <f t="shared" si="4"/>
        <v>0</v>
      </c>
      <c r="N27" s="927">
        <f t="shared" si="2"/>
        <v>0</v>
      </c>
      <c r="O27" s="941">
        <f t="shared" si="3"/>
        <v>0</v>
      </c>
      <c r="P27" s="937"/>
      <c r="Q27" s="125"/>
      <c r="R27" s="125"/>
      <c r="S27" s="125"/>
      <c r="T27" s="125"/>
      <c r="U27" s="125"/>
    </row>
    <row r="28" spans="1:21" s="74" customFormat="1" ht="15" customHeight="1" x14ac:dyDescent="0.2">
      <c r="A28" s="821" t="s">
        <v>8</v>
      </c>
      <c r="B28" s="178">
        <v>0</v>
      </c>
      <c r="C28" s="1665" t="s">
        <v>401</v>
      </c>
      <c r="D28" s="1701"/>
      <c r="E28" s="1741"/>
      <c r="F28" s="1742"/>
      <c r="G28" s="950" t="s">
        <v>32</v>
      </c>
      <c r="H28" s="77" t="s">
        <v>65</v>
      </c>
      <c r="I28" s="155">
        <f>$D$11*B28</f>
        <v>0</v>
      </c>
      <c r="J28" s="155" t="e">
        <f>$J$15*I28</f>
        <v>#DIV/0!</v>
      </c>
      <c r="K28" s="162">
        <f t="shared" si="0"/>
        <v>0</v>
      </c>
      <c r="L28" s="960">
        <f t="shared" si="1"/>
        <v>0</v>
      </c>
      <c r="M28" s="932">
        <f t="shared" si="4"/>
        <v>0</v>
      </c>
      <c r="N28" s="927">
        <f t="shared" si="2"/>
        <v>0</v>
      </c>
      <c r="O28" s="941">
        <f t="shared" si="3"/>
        <v>0</v>
      </c>
      <c r="P28" s="937"/>
      <c r="Q28" s="125"/>
      <c r="R28" s="125"/>
      <c r="S28" s="125"/>
      <c r="T28" s="125"/>
      <c r="U28" s="125"/>
    </row>
    <row r="29" spans="1:21" s="74" customFormat="1" ht="15" customHeight="1" x14ac:dyDescent="0.2">
      <c r="A29" s="821" t="s">
        <v>8</v>
      </c>
      <c r="B29" s="178">
        <v>0</v>
      </c>
      <c r="C29" s="1665" t="s">
        <v>254</v>
      </c>
      <c r="D29" s="1701"/>
      <c r="E29" s="1743"/>
      <c r="F29" s="1744"/>
      <c r="G29" s="950" t="s">
        <v>32</v>
      </c>
      <c r="H29" s="77"/>
      <c r="I29" s="155">
        <f t="shared" si="5"/>
        <v>0</v>
      </c>
      <c r="J29" s="155" t="e">
        <f t="shared" si="6"/>
        <v>#DIV/0!</v>
      </c>
      <c r="K29" s="162">
        <f t="shared" si="0"/>
        <v>0</v>
      </c>
      <c r="L29" s="960">
        <f t="shared" si="1"/>
        <v>0</v>
      </c>
      <c r="M29" s="932">
        <f t="shared" si="4"/>
        <v>0</v>
      </c>
      <c r="N29" s="927">
        <f t="shared" si="2"/>
        <v>0</v>
      </c>
      <c r="O29" s="941">
        <f t="shared" si="3"/>
        <v>0</v>
      </c>
      <c r="P29" s="937"/>
      <c r="Q29" s="125"/>
      <c r="R29" s="125"/>
      <c r="S29" s="125"/>
      <c r="T29" s="125"/>
      <c r="U29" s="125"/>
    </row>
    <row r="30" spans="1:21" s="85" customFormat="1" ht="21.75" customHeight="1" x14ac:dyDescent="0.2">
      <c r="A30" s="821" t="s">
        <v>8</v>
      </c>
      <c r="B30" s="178">
        <v>0</v>
      </c>
      <c r="C30" s="1449" t="s">
        <v>286</v>
      </c>
      <c r="D30" s="1459"/>
      <c r="E30" s="1459"/>
      <c r="F30" s="1460"/>
      <c r="G30" s="955" t="s">
        <v>32</v>
      </c>
      <c r="H30" s="84" t="s">
        <v>36</v>
      </c>
      <c r="I30" s="155">
        <f t="shared" si="5"/>
        <v>0</v>
      </c>
      <c r="J30" s="155" t="e">
        <f t="shared" si="6"/>
        <v>#DIV/0!</v>
      </c>
      <c r="K30" s="162">
        <f t="shared" si="0"/>
        <v>0</v>
      </c>
      <c r="L30" s="960">
        <f t="shared" si="1"/>
        <v>0</v>
      </c>
      <c r="M30" s="932">
        <f t="shared" si="4"/>
        <v>0</v>
      </c>
      <c r="N30" s="927">
        <f t="shared" si="2"/>
        <v>0</v>
      </c>
      <c r="O30" s="941">
        <f t="shared" si="3"/>
        <v>0</v>
      </c>
      <c r="P30" s="937"/>
      <c r="Q30" s="127"/>
      <c r="R30" s="127"/>
      <c r="S30" s="127"/>
      <c r="T30" s="127"/>
      <c r="U30" s="127"/>
    </row>
    <row r="31" spans="1:21" s="90" customFormat="1" ht="15" customHeight="1" x14ac:dyDescent="0.2">
      <c r="A31" s="821" t="s">
        <v>8</v>
      </c>
      <c r="B31" s="86"/>
      <c r="C31" s="1449" t="s">
        <v>385</v>
      </c>
      <c r="D31" s="1459"/>
      <c r="E31" s="1459"/>
      <c r="F31" s="1460"/>
      <c r="G31" s="955" t="s">
        <v>31</v>
      </c>
      <c r="H31" s="88"/>
      <c r="I31" s="992">
        <v>0</v>
      </c>
      <c r="J31" s="155" t="e">
        <f>$J$15*I31</f>
        <v>#DIV/0!</v>
      </c>
      <c r="K31" s="162">
        <f t="shared" si="0"/>
        <v>0</v>
      </c>
      <c r="L31" s="960">
        <f t="shared" si="1"/>
        <v>0</v>
      </c>
      <c r="M31" s="932">
        <f t="shared" si="4"/>
        <v>0</v>
      </c>
      <c r="N31" s="927">
        <f t="shared" si="2"/>
        <v>0</v>
      </c>
      <c r="O31" s="941">
        <f>M31-N31</f>
        <v>0</v>
      </c>
      <c r="P31" s="937"/>
      <c r="Q31" s="143"/>
      <c r="R31" s="143"/>
      <c r="S31" s="143"/>
      <c r="T31" s="143"/>
      <c r="U31" s="143"/>
    </row>
    <row r="32" spans="1:21" s="74" customFormat="1" ht="15" customHeight="1" x14ac:dyDescent="0.2">
      <c r="A32" s="821" t="s">
        <v>8</v>
      </c>
      <c r="B32" s="782">
        <v>0</v>
      </c>
      <c r="C32" s="1449" t="s">
        <v>555</v>
      </c>
      <c r="D32" s="1459"/>
      <c r="E32" s="1460"/>
      <c r="F32" s="1737" t="s">
        <v>281</v>
      </c>
      <c r="G32" s="955" t="s">
        <v>31</v>
      </c>
      <c r="H32" s="84" t="s">
        <v>37</v>
      </c>
      <c r="I32" s="155">
        <f t="shared" si="5"/>
        <v>0</v>
      </c>
      <c r="J32" s="155" t="e">
        <f t="shared" si="6"/>
        <v>#DIV/0!</v>
      </c>
      <c r="K32" s="162">
        <f t="shared" si="0"/>
        <v>0</v>
      </c>
      <c r="L32" s="960">
        <f t="shared" si="1"/>
        <v>0</v>
      </c>
      <c r="M32" s="932">
        <f t="shared" si="4"/>
        <v>0</v>
      </c>
      <c r="N32" s="927">
        <f t="shared" si="2"/>
        <v>0</v>
      </c>
      <c r="O32" s="941">
        <f t="shared" si="3"/>
        <v>0</v>
      </c>
      <c r="P32" s="937"/>
      <c r="Q32" s="125"/>
      <c r="R32" s="125"/>
      <c r="S32" s="125"/>
      <c r="T32" s="125"/>
      <c r="U32" s="125"/>
    </row>
    <row r="33" spans="1:21" s="74" customFormat="1" ht="15" customHeight="1" x14ac:dyDescent="0.2">
      <c r="A33" s="821" t="s">
        <v>8</v>
      </c>
      <c r="B33" s="179">
        <f>5-B32</f>
        <v>5</v>
      </c>
      <c r="C33" s="1449" t="s">
        <v>556</v>
      </c>
      <c r="D33" s="1459"/>
      <c r="E33" s="1460"/>
      <c r="F33" s="1738"/>
      <c r="G33" s="942" t="s">
        <v>31</v>
      </c>
      <c r="H33" s="84" t="s">
        <v>197</v>
      </c>
      <c r="I33" s="155">
        <f t="shared" si="5"/>
        <v>0</v>
      </c>
      <c r="J33" s="155" t="e">
        <f t="shared" si="6"/>
        <v>#DIV/0!</v>
      </c>
      <c r="K33" s="162">
        <f t="shared" si="0"/>
        <v>0</v>
      </c>
      <c r="L33" s="960">
        <f t="shared" si="1"/>
        <v>0</v>
      </c>
      <c r="M33" s="932">
        <f t="shared" si="4"/>
        <v>0</v>
      </c>
      <c r="N33" s="927">
        <f t="shared" si="2"/>
        <v>0</v>
      </c>
      <c r="O33" s="941">
        <f t="shared" si="3"/>
        <v>0</v>
      </c>
      <c r="P33" s="937"/>
      <c r="Q33" s="125"/>
      <c r="R33" s="125"/>
      <c r="S33" s="125"/>
      <c r="T33" s="125"/>
      <c r="U33" s="125"/>
    </row>
    <row r="34" spans="1:21" s="85" customFormat="1" ht="15.75" customHeight="1" x14ac:dyDescent="0.2">
      <c r="A34" s="821" t="s">
        <v>7</v>
      </c>
      <c r="B34" s="75"/>
      <c r="C34" s="1449" t="s">
        <v>220</v>
      </c>
      <c r="D34" s="1459"/>
      <c r="E34" s="1459"/>
      <c r="F34" s="1460"/>
      <c r="G34" s="955" t="s">
        <v>31</v>
      </c>
      <c r="H34" s="84" t="s">
        <v>10</v>
      </c>
      <c r="I34" s="155">
        <f>$D$10*20%</f>
        <v>0</v>
      </c>
      <c r="J34" s="155" t="e">
        <f t="shared" si="6"/>
        <v>#DIV/0!</v>
      </c>
      <c r="K34" s="162">
        <f t="shared" si="0"/>
        <v>0</v>
      </c>
      <c r="L34" s="960">
        <f t="shared" si="1"/>
        <v>0</v>
      </c>
      <c r="M34" s="932">
        <f t="shared" si="4"/>
        <v>0</v>
      </c>
      <c r="N34" s="927">
        <f t="shared" si="2"/>
        <v>0</v>
      </c>
      <c r="O34" s="941">
        <f t="shared" si="3"/>
        <v>0</v>
      </c>
      <c r="P34" s="937"/>
      <c r="Q34" s="127"/>
      <c r="R34" s="127"/>
      <c r="S34" s="127"/>
      <c r="T34" s="127"/>
      <c r="U34" s="127"/>
    </row>
    <row r="35" spans="1:21" s="90" customFormat="1" ht="15" x14ac:dyDescent="0.2">
      <c r="A35" s="821"/>
      <c r="B35" s="86"/>
      <c r="C35" s="1456" t="s">
        <v>221</v>
      </c>
      <c r="D35" s="1928"/>
      <c r="E35" s="1928"/>
      <c r="F35" s="1929"/>
      <c r="G35" s="703"/>
      <c r="H35" s="88"/>
      <c r="I35" s="155">
        <f>SUM(I16:I34)</f>
        <v>0</v>
      </c>
      <c r="J35" s="157">
        <f>J49-SUM(J36:J45)</f>
        <v>1940</v>
      </c>
      <c r="K35" s="162"/>
      <c r="L35" s="964">
        <f>SUM(L16:L34)</f>
        <v>0</v>
      </c>
      <c r="M35" s="933">
        <f>IF($M$49=0,,M49-SUM(M36:M45))</f>
        <v>0</v>
      </c>
      <c r="N35" s="927"/>
      <c r="O35" s="943">
        <f>SUM(O16:O34)</f>
        <v>0</v>
      </c>
      <c r="P35" s="938"/>
      <c r="Q35" s="143"/>
      <c r="R35" s="143"/>
      <c r="S35" s="143"/>
      <c r="T35" s="143"/>
      <c r="U35" s="143"/>
    </row>
    <row r="36" spans="1:21" s="85" customFormat="1" ht="19.5" customHeight="1" x14ac:dyDescent="0.2">
      <c r="A36" s="821" t="s">
        <v>7</v>
      </c>
      <c r="B36" s="75"/>
      <c r="C36" s="1449" t="s">
        <v>419</v>
      </c>
      <c r="D36" s="1459"/>
      <c r="E36" s="1459"/>
      <c r="F36" s="1460"/>
      <c r="G36" s="955" t="s">
        <v>31</v>
      </c>
      <c r="H36" s="91" t="s">
        <v>39</v>
      </c>
      <c r="I36" s="992">
        <v>0</v>
      </c>
      <c r="J36" s="155">
        <f>I36</f>
        <v>0</v>
      </c>
      <c r="K36" s="162">
        <f t="shared" ref="K36:K44" si="7">IF(A36="Y", I36*2%,0)</f>
        <v>0</v>
      </c>
      <c r="L36" s="960">
        <f t="shared" ref="L36:L46" si="8">I36-K36</f>
        <v>0</v>
      </c>
      <c r="M36" s="932">
        <f t="shared" ref="M36:M46" si="9">IF($M$49=0,,I36)</f>
        <v>0</v>
      </c>
      <c r="N36" s="927">
        <f t="shared" ref="N36:N44" si="10">IF(A36="Y", M36*2%,)</f>
        <v>0</v>
      </c>
      <c r="O36" s="941">
        <f t="shared" si="3"/>
        <v>0</v>
      </c>
      <c r="P36" s="937"/>
      <c r="Q36" s="127"/>
      <c r="R36" s="127"/>
      <c r="S36" s="127"/>
      <c r="T36" s="127"/>
      <c r="U36" s="127"/>
    </row>
    <row r="37" spans="1:21" s="85" customFormat="1" ht="15" x14ac:dyDescent="0.2">
      <c r="A37" s="821" t="s">
        <v>7</v>
      </c>
      <c r="B37" s="75"/>
      <c r="C37" s="1446" t="s">
        <v>259</v>
      </c>
      <c r="D37" s="1447"/>
      <c r="E37" s="1447"/>
      <c r="F37" s="1448"/>
      <c r="G37" s="704" t="s">
        <v>31</v>
      </c>
      <c r="H37" s="92" t="s">
        <v>197</v>
      </c>
      <c r="I37" s="992">
        <v>0</v>
      </c>
      <c r="J37" s="155">
        <f t="shared" ref="J37:J45" si="11">I37</f>
        <v>0</v>
      </c>
      <c r="K37" s="162">
        <f t="shared" si="7"/>
        <v>0</v>
      </c>
      <c r="L37" s="960">
        <f t="shared" si="8"/>
        <v>0</v>
      </c>
      <c r="M37" s="932">
        <f t="shared" si="9"/>
        <v>0</v>
      </c>
      <c r="N37" s="927">
        <f t="shared" si="10"/>
        <v>0</v>
      </c>
      <c r="O37" s="941">
        <f t="shared" si="3"/>
        <v>0</v>
      </c>
      <c r="P37" s="937"/>
      <c r="Q37" s="127"/>
      <c r="R37" s="127"/>
      <c r="S37" s="127"/>
      <c r="T37" s="127"/>
      <c r="U37" s="127"/>
    </row>
    <row r="38" spans="1:21" s="74" customFormat="1" ht="15" x14ac:dyDescent="0.2">
      <c r="A38" s="821" t="s">
        <v>7</v>
      </c>
      <c r="B38" s="94"/>
      <c r="C38" s="1446" t="s">
        <v>421</v>
      </c>
      <c r="D38" s="1447"/>
      <c r="E38" s="1447"/>
      <c r="F38" s="1448"/>
      <c r="G38" s="704" t="s">
        <v>230</v>
      </c>
      <c r="H38" s="92" t="s">
        <v>24</v>
      </c>
      <c r="I38" s="204">
        <v>0</v>
      </c>
      <c r="J38" s="155">
        <f t="shared" si="11"/>
        <v>0</v>
      </c>
      <c r="K38" s="162">
        <f t="shared" si="7"/>
        <v>0</v>
      </c>
      <c r="L38" s="960">
        <f t="shared" si="8"/>
        <v>0</v>
      </c>
      <c r="M38" s="932">
        <f t="shared" si="9"/>
        <v>0</v>
      </c>
      <c r="N38" s="927">
        <f t="shared" si="10"/>
        <v>0</v>
      </c>
      <c r="O38" s="941">
        <f t="shared" si="3"/>
        <v>0</v>
      </c>
      <c r="P38" s="937"/>
      <c r="Q38" s="125"/>
      <c r="R38" s="125"/>
      <c r="S38" s="125"/>
      <c r="T38" s="125"/>
      <c r="U38" s="125"/>
    </row>
    <row r="39" spans="1:21" s="74" customFormat="1" ht="15" x14ac:dyDescent="0.2">
      <c r="A39" s="821" t="s">
        <v>7</v>
      </c>
      <c r="B39" s="94"/>
      <c r="C39" s="1446" t="s">
        <v>284</v>
      </c>
      <c r="D39" s="1447"/>
      <c r="E39" s="1447"/>
      <c r="F39" s="1448"/>
      <c r="G39" s="704" t="s">
        <v>32</v>
      </c>
      <c r="H39" s="92" t="s">
        <v>27</v>
      </c>
      <c r="I39" s="204">
        <v>0</v>
      </c>
      <c r="J39" s="155">
        <f t="shared" si="11"/>
        <v>0</v>
      </c>
      <c r="K39" s="162">
        <f t="shared" si="7"/>
        <v>0</v>
      </c>
      <c r="L39" s="960">
        <f t="shared" si="8"/>
        <v>0</v>
      </c>
      <c r="M39" s="932">
        <f t="shared" si="9"/>
        <v>0</v>
      </c>
      <c r="N39" s="927">
        <f t="shared" si="10"/>
        <v>0</v>
      </c>
      <c r="O39" s="941">
        <f t="shared" si="3"/>
        <v>0</v>
      </c>
      <c r="P39" s="937"/>
      <c r="Q39" s="125"/>
      <c r="R39" s="125"/>
      <c r="S39" s="125"/>
      <c r="T39" s="125"/>
      <c r="U39" s="125"/>
    </row>
    <row r="40" spans="1:21" s="74" customFormat="1" ht="15" x14ac:dyDescent="0.2">
      <c r="A40" s="821" t="s">
        <v>8</v>
      </c>
      <c r="B40" s="94"/>
      <c r="C40" s="1930" t="s">
        <v>495</v>
      </c>
      <c r="D40" s="1534"/>
      <c r="E40" s="1534"/>
      <c r="F40" s="1931"/>
      <c r="G40" s="704" t="s">
        <v>446</v>
      </c>
      <c r="H40" s="92"/>
      <c r="I40" s="204">
        <v>0</v>
      </c>
      <c r="J40" s="155"/>
      <c r="K40" s="162">
        <f t="shared" si="7"/>
        <v>0</v>
      </c>
      <c r="L40" s="960">
        <f t="shared" si="8"/>
        <v>0</v>
      </c>
      <c r="M40" s="932">
        <f t="shared" si="9"/>
        <v>0</v>
      </c>
      <c r="N40" s="927">
        <f t="shared" si="10"/>
        <v>0</v>
      </c>
      <c r="O40" s="941">
        <f>M40-N40</f>
        <v>0</v>
      </c>
      <c r="P40" s="937"/>
      <c r="Q40" s="125"/>
      <c r="R40" s="125"/>
      <c r="S40" s="125"/>
      <c r="T40" s="125"/>
      <c r="U40" s="125"/>
    </row>
    <row r="41" spans="1:21" s="74" customFormat="1" ht="15" x14ac:dyDescent="0.2">
      <c r="A41" s="821" t="s">
        <v>8</v>
      </c>
      <c r="B41" s="94"/>
      <c r="C41" s="1930" t="s">
        <v>583</v>
      </c>
      <c r="D41" s="1534"/>
      <c r="E41" s="1534"/>
      <c r="F41" s="1931"/>
      <c r="G41" s="704" t="s">
        <v>32</v>
      </c>
      <c r="H41" s="92" t="s">
        <v>15</v>
      </c>
      <c r="I41" s="204">
        <v>0</v>
      </c>
      <c r="J41" s="155">
        <f>I41</f>
        <v>0</v>
      </c>
      <c r="K41" s="162">
        <f t="shared" si="7"/>
        <v>0</v>
      </c>
      <c r="L41" s="960">
        <f t="shared" si="8"/>
        <v>0</v>
      </c>
      <c r="M41" s="932">
        <f t="shared" si="9"/>
        <v>0</v>
      </c>
      <c r="N41" s="927">
        <f t="shared" si="10"/>
        <v>0</v>
      </c>
      <c r="O41" s="941">
        <f>M41-N41</f>
        <v>0</v>
      </c>
      <c r="P41" s="937"/>
      <c r="Q41" s="125"/>
      <c r="R41" s="125"/>
      <c r="S41" s="125"/>
      <c r="T41" s="125"/>
      <c r="U41" s="125"/>
    </row>
    <row r="42" spans="1:21" s="74" customFormat="1" ht="15" x14ac:dyDescent="0.2">
      <c r="A42" s="821" t="s">
        <v>7</v>
      </c>
      <c r="B42" s="94"/>
      <c r="C42" s="1446" t="s">
        <v>445</v>
      </c>
      <c r="D42" s="1447"/>
      <c r="E42" s="1447"/>
      <c r="F42" s="1448"/>
      <c r="G42" s="704" t="s">
        <v>32</v>
      </c>
      <c r="H42" s="92"/>
      <c r="I42" s="204">
        <v>0</v>
      </c>
      <c r="J42" s="155">
        <f>I42</f>
        <v>0</v>
      </c>
      <c r="K42" s="162">
        <f t="shared" si="7"/>
        <v>0</v>
      </c>
      <c r="L42" s="960">
        <f t="shared" si="8"/>
        <v>0</v>
      </c>
      <c r="M42" s="932">
        <f t="shared" si="9"/>
        <v>0</v>
      </c>
      <c r="N42" s="927">
        <f t="shared" si="10"/>
        <v>0</v>
      </c>
      <c r="O42" s="941">
        <f t="shared" ref="O42:O43" si="12">M42-N42</f>
        <v>0</v>
      </c>
      <c r="P42" s="937"/>
      <c r="Q42" s="125"/>
      <c r="R42" s="125"/>
      <c r="S42" s="125"/>
      <c r="T42" s="125"/>
      <c r="U42" s="125"/>
    </row>
    <row r="43" spans="1:21" s="74" customFormat="1" ht="15" x14ac:dyDescent="0.2">
      <c r="A43" s="821" t="s">
        <v>8</v>
      </c>
      <c r="B43" s="94"/>
      <c r="C43" s="1930" t="s">
        <v>559</v>
      </c>
      <c r="D43" s="1534"/>
      <c r="E43" s="1534"/>
      <c r="F43" s="1931"/>
      <c r="G43" s="704" t="s">
        <v>31</v>
      </c>
      <c r="H43" s="947" t="s">
        <v>13</v>
      </c>
      <c r="I43" s="992">
        <v>0</v>
      </c>
      <c r="J43" s="155">
        <f t="shared" si="11"/>
        <v>0</v>
      </c>
      <c r="K43" s="162">
        <f t="shared" si="7"/>
        <v>0</v>
      </c>
      <c r="L43" s="960">
        <f t="shared" si="8"/>
        <v>0</v>
      </c>
      <c r="M43" s="932">
        <f t="shared" si="9"/>
        <v>0</v>
      </c>
      <c r="N43" s="927">
        <f t="shared" si="10"/>
        <v>0</v>
      </c>
      <c r="O43" s="941">
        <f t="shared" si="12"/>
        <v>0</v>
      </c>
      <c r="P43" s="937"/>
      <c r="Q43" s="125"/>
      <c r="R43" s="125"/>
      <c r="S43" s="125"/>
      <c r="T43" s="125"/>
      <c r="U43" s="125"/>
    </row>
    <row r="44" spans="1:21" s="74" customFormat="1" ht="15" x14ac:dyDescent="0.2">
      <c r="A44" s="821" t="s">
        <v>7</v>
      </c>
      <c r="B44" s="94"/>
      <c r="C44" s="1446" t="s">
        <v>454</v>
      </c>
      <c r="D44" s="1447"/>
      <c r="E44" s="1447"/>
      <c r="F44" s="1448"/>
      <c r="G44" s="704" t="s">
        <v>32</v>
      </c>
      <c r="H44" s="92" t="s">
        <v>27</v>
      </c>
      <c r="I44" s="204">
        <v>0</v>
      </c>
      <c r="J44" s="155">
        <f t="shared" si="11"/>
        <v>0</v>
      </c>
      <c r="K44" s="162">
        <f t="shared" si="7"/>
        <v>0</v>
      </c>
      <c r="L44" s="960">
        <f t="shared" si="8"/>
        <v>0</v>
      </c>
      <c r="M44" s="932">
        <f t="shared" si="9"/>
        <v>0</v>
      </c>
      <c r="N44" s="927">
        <f t="shared" si="10"/>
        <v>0</v>
      </c>
      <c r="O44" s="941">
        <f t="shared" si="3"/>
        <v>0</v>
      </c>
      <c r="P44" s="937"/>
      <c r="Q44" s="125"/>
      <c r="R44" s="125"/>
      <c r="S44" s="125"/>
      <c r="T44" s="125"/>
      <c r="U44" s="125"/>
    </row>
    <row r="45" spans="1:21" s="74" customFormat="1" ht="15" x14ac:dyDescent="0.2">
      <c r="A45" s="821" t="s">
        <v>7</v>
      </c>
      <c r="B45" s="94"/>
      <c r="C45" s="1446" t="s">
        <v>376</v>
      </c>
      <c r="D45" s="1447"/>
      <c r="E45" s="1447"/>
      <c r="F45" s="1448"/>
      <c r="G45" s="704" t="s">
        <v>32</v>
      </c>
      <c r="H45" s="92" t="s">
        <v>80</v>
      </c>
      <c r="I45" s="205">
        <v>0</v>
      </c>
      <c r="J45" s="155">
        <f t="shared" si="11"/>
        <v>0</v>
      </c>
      <c r="K45" s="162">
        <f>IF(A46="Y", I45*2%,0)</f>
        <v>0</v>
      </c>
      <c r="L45" s="960">
        <f t="shared" si="8"/>
        <v>0</v>
      </c>
      <c r="M45" s="932">
        <f t="shared" si="9"/>
        <v>0</v>
      </c>
      <c r="N45" s="927">
        <f>IF(A46="Y", M45*2%,)</f>
        <v>0</v>
      </c>
      <c r="O45" s="941">
        <f t="shared" si="3"/>
        <v>0</v>
      </c>
      <c r="P45" s="937"/>
      <c r="Q45" s="125"/>
      <c r="R45" s="125"/>
      <c r="S45" s="125"/>
      <c r="T45" s="125"/>
      <c r="U45" s="125"/>
    </row>
    <row r="46" spans="1:21" s="74" customFormat="1" ht="15" x14ac:dyDescent="0.2">
      <c r="A46" s="821" t="s">
        <v>7</v>
      </c>
      <c r="B46" s="94"/>
      <c r="C46" s="1446" t="s">
        <v>225</v>
      </c>
      <c r="D46" s="1447"/>
      <c r="E46" s="1447"/>
      <c r="F46" s="1448"/>
      <c r="G46" s="704" t="s">
        <v>31</v>
      </c>
      <c r="H46" s="92"/>
      <c r="I46" s="205">
        <v>0</v>
      </c>
      <c r="J46" s="155"/>
      <c r="K46" s="162">
        <f>IF(A47="Y", I46*2%,0)</f>
        <v>0</v>
      </c>
      <c r="L46" s="960">
        <f t="shared" si="8"/>
        <v>0</v>
      </c>
      <c r="M46" s="932">
        <f t="shared" si="9"/>
        <v>0</v>
      </c>
      <c r="N46" s="927">
        <f>IF(A47="Y", M46*2%,)</f>
        <v>0</v>
      </c>
      <c r="O46" s="941">
        <f t="shared" si="3"/>
        <v>0</v>
      </c>
      <c r="P46" s="937"/>
      <c r="Q46" s="125"/>
      <c r="R46" s="125"/>
      <c r="S46" s="125"/>
      <c r="T46" s="125"/>
      <c r="U46" s="125"/>
    </row>
    <row r="47" spans="1:21" s="74" customFormat="1" ht="15" customHeight="1" x14ac:dyDescent="0.2">
      <c r="A47" s="869" t="s">
        <v>7</v>
      </c>
      <c r="B47" s="94"/>
      <c r="C47" s="1665" t="s">
        <v>487</v>
      </c>
      <c r="D47" s="1700"/>
      <c r="E47" s="1700"/>
      <c r="F47" s="1701"/>
      <c r="G47" s="705" t="s">
        <v>31</v>
      </c>
      <c r="H47" s="96" t="s">
        <v>41</v>
      </c>
      <c r="I47" s="97"/>
      <c r="J47" s="104"/>
      <c r="K47" s="163"/>
      <c r="L47" s="968">
        <f>K48</f>
        <v>0</v>
      </c>
      <c r="M47" s="934"/>
      <c r="N47" s="928"/>
      <c r="O47" s="944">
        <f>N48</f>
        <v>0</v>
      </c>
      <c r="P47" s="937"/>
      <c r="Q47" s="125"/>
      <c r="R47" s="125"/>
      <c r="S47" s="125"/>
      <c r="T47" s="125"/>
      <c r="U47" s="125"/>
    </row>
    <row r="48" spans="1:21" s="74" customFormat="1" ht="15.75" thickBot="1" x14ac:dyDescent="0.25">
      <c r="A48" s="870"/>
      <c r="B48" s="826"/>
      <c r="C48" s="826"/>
      <c r="D48" s="826"/>
      <c r="E48" s="827"/>
      <c r="F48" s="827"/>
      <c r="G48" s="127"/>
      <c r="H48" s="127"/>
      <c r="I48" s="127"/>
      <c r="J48" s="127"/>
      <c r="K48" s="828">
        <f>SUM(K16:K47)</f>
        <v>0</v>
      </c>
      <c r="L48" s="969"/>
      <c r="M48" s="127"/>
      <c r="N48" s="828">
        <f>SUM(N16:N47)</f>
        <v>0</v>
      </c>
      <c r="O48" s="945"/>
      <c r="P48" s="939"/>
      <c r="Q48" s="125"/>
      <c r="R48" s="125"/>
      <c r="S48" s="125"/>
      <c r="T48" s="125"/>
      <c r="U48" s="125"/>
    </row>
    <row r="49" spans="1:23" s="125" customFormat="1" ht="16.5" thickBot="1" x14ac:dyDescent="0.25">
      <c r="A49" s="871"/>
      <c r="B49" s="832"/>
      <c r="C49" s="832"/>
      <c r="D49" s="832"/>
      <c r="E49" s="833"/>
      <c r="F49" s="951" t="s">
        <v>81</v>
      </c>
      <c r="G49" s="834"/>
      <c r="H49" s="835" t="s">
        <v>1</v>
      </c>
      <c r="I49" s="906">
        <f>SUM(I35:I48)</f>
        <v>0</v>
      </c>
      <c r="J49" s="907">
        <v>1940</v>
      </c>
      <c r="K49" s="908"/>
      <c r="L49" s="999">
        <f>SUM(L35:L48)</f>
        <v>0</v>
      </c>
      <c r="M49" s="957">
        <v>0</v>
      </c>
      <c r="N49" s="908"/>
      <c r="O49" s="936">
        <f>SUM(O35:O48)</f>
        <v>0</v>
      </c>
      <c r="P49" s="127"/>
    </row>
    <row r="50" spans="1:23" s="141" customFormat="1" ht="12" x14ac:dyDescent="0.2">
      <c r="A50" s="911"/>
      <c r="B50" s="912"/>
      <c r="C50" s="912"/>
      <c r="D50" s="912"/>
      <c r="E50" s="912"/>
      <c r="F50" s="912"/>
      <c r="G50" s="912"/>
      <c r="H50" s="912"/>
      <c r="I50" s="912"/>
      <c r="J50" s="912"/>
      <c r="K50" s="912"/>
      <c r="L50" s="912"/>
      <c r="M50" s="912"/>
      <c r="N50" s="912"/>
      <c r="O50" s="912"/>
      <c r="P50" s="912"/>
      <c r="Q50" s="912"/>
      <c r="R50" s="912"/>
      <c r="S50" s="912"/>
      <c r="T50" s="912"/>
      <c r="U50" s="912"/>
      <c r="V50" s="912"/>
      <c r="W50" s="912"/>
    </row>
    <row r="51" spans="1:23" s="141" customFormat="1" ht="12" x14ac:dyDescent="0.2">
      <c r="A51" s="911"/>
      <c r="B51" s="912"/>
      <c r="C51" s="912"/>
      <c r="D51" s="912"/>
      <c r="E51" s="912"/>
      <c r="F51" s="912"/>
      <c r="G51" s="912"/>
      <c r="H51" s="912"/>
      <c r="I51" s="912"/>
      <c r="J51" s="912"/>
      <c r="K51" s="912"/>
      <c r="L51" s="912"/>
      <c r="M51" s="912"/>
      <c r="N51" s="912"/>
      <c r="O51" s="912"/>
      <c r="P51" s="912"/>
      <c r="Q51" s="912"/>
      <c r="R51" s="912"/>
      <c r="S51" s="912"/>
      <c r="T51" s="912"/>
      <c r="U51" s="912"/>
      <c r="V51" s="912"/>
      <c r="W51" s="912"/>
    </row>
    <row r="52" spans="1:23" s="54" customFormat="1" x14ac:dyDescent="0.2">
      <c r="A52" s="914"/>
      <c r="B52" s="914"/>
      <c r="C52" s="914"/>
      <c r="D52" s="914"/>
      <c r="E52" s="909"/>
      <c r="F52" s="909"/>
      <c r="G52" s="910"/>
      <c r="H52" s="910"/>
      <c r="I52" s="910"/>
      <c r="J52" s="910"/>
      <c r="K52" s="910"/>
      <c r="L52" s="915"/>
      <c r="M52" s="910"/>
      <c r="N52" s="910"/>
      <c r="O52" s="910"/>
      <c r="P52" s="912"/>
      <c r="Q52" s="912"/>
      <c r="R52" s="912"/>
      <c r="S52" s="912"/>
      <c r="T52" s="912"/>
      <c r="U52" s="912"/>
      <c r="V52" s="912"/>
      <c r="W52" s="912"/>
    </row>
    <row r="53" spans="1:23" x14ac:dyDescent="0.2">
      <c r="P53" s="910"/>
      <c r="Q53" s="910"/>
      <c r="R53" s="910"/>
      <c r="S53" s="910"/>
      <c r="T53" s="910"/>
      <c r="U53" s="913"/>
      <c r="V53" s="913"/>
      <c r="W53" s="321"/>
    </row>
  </sheetData>
  <mergeCells count="84">
    <mergeCell ref="C46:F46"/>
    <mergeCell ref="C47:F47"/>
    <mergeCell ref="C40:F40"/>
    <mergeCell ref="C41:F41"/>
    <mergeCell ref="C42:F42"/>
    <mergeCell ref="C43:F43"/>
    <mergeCell ref="C44:F44"/>
    <mergeCell ref="C45:F45"/>
    <mergeCell ref="C21:F21"/>
    <mergeCell ref="C22:F22"/>
    <mergeCell ref="C23:F23"/>
    <mergeCell ref="C24:F24"/>
    <mergeCell ref="C39:F39"/>
    <mergeCell ref="C29:D29"/>
    <mergeCell ref="C30:F30"/>
    <mergeCell ref="C31:F31"/>
    <mergeCell ref="C32:E32"/>
    <mergeCell ref="F32:F33"/>
    <mergeCell ref="C33:E33"/>
    <mergeCell ref="C34:F34"/>
    <mergeCell ref="C35:F35"/>
    <mergeCell ref="C36:F36"/>
    <mergeCell ref="C37:F37"/>
    <mergeCell ref="C38:F38"/>
    <mergeCell ref="C25:D25"/>
    <mergeCell ref="E25:F29"/>
    <mergeCell ref="C26:D26"/>
    <mergeCell ref="C27:D27"/>
    <mergeCell ref="C28:D28"/>
    <mergeCell ref="I13:L13"/>
    <mergeCell ref="M13:O13"/>
    <mergeCell ref="C14:F15"/>
    <mergeCell ref="K14:K15"/>
    <mergeCell ref="N14:N15"/>
    <mergeCell ref="L14:L15"/>
    <mergeCell ref="G14:G15"/>
    <mergeCell ref="O14:O15"/>
    <mergeCell ref="B16:B20"/>
    <mergeCell ref="C16:F16"/>
    <mergeCell ref="C17:F17"/>
    <mergeCell ref="C18:F18"/>
    <mergeCell ref="C19:F19"/>
    <mergeCell ref="C20:F20"/>
    <mergeCell ref="A10:C10"/>
    <mergeCell ref="D10:E10"/>
    <mergeCell ref="F10:G10"/>
    <mergeCell ref="I10:L10"/>
    <mergeCell ref="M10:N10"/>
    <mergeCell ref="A11:C11"/>
    <mergeCell ref="D11:E11"/>
    <mergeCell ref="F11:G11"/>
    <mergeCell ref="I11:L11"/>
    <mergeCell ref="M11:N11"/>
    <mergeCell ref="M8:N8"/>
    <mergeCell ref="A9:C9"/>
    <mergeCell ref="D9:E9"/>
    <mergeCell ref="F9:G9"/>
    <mergeCell ref="I9:L9"/>
    <mergeCell ref="M9:N9"/>
    <mergeCell ref="A7:C7"/>
    <mergeCell ref="D7:E7"/>
    <mergeCell ref="F7:G7"/>
    <mergeCell ref="I7:L7"/>
    <mergeCell ref="A8:C8"/>
    <mergeCell ref="D8:E8"/>
    <mergeCell ref="F8:G8"/>
    <mergeCell ref="I8:L8"/>
    <mergeCell ref="A5:C5"/>
    <mergeCell ref="D5:E5"/>
    <mergeCell ref="F5:G5"/>
    <mergeCell ref="I5:L5"/>
    <mergeCell ref="M5:N5"/>
    <mergeCell ref="A6:C6"/>
    <mergeCell ref="D6:E6"/>
    <mergeCell ref="F6:G6"/>
    <mergeCell ref="I6:L6"/>
    <mergeCell ref="M6:N6"/>
    <mergeCell ref="A1:O1"/>
    <mergeCell ref="A3:O3"/>
    <mergeCell ref="A4:C4"/>
    <mergeCell ref="D4:E4"/>
    <mergeCell ref="F4:G4"/>
    <mergeCell ref="I4:L4"/>
    <mergeCell ref="M4:N4"/>
  </mergeCells>
  <conditionalFormatting sqref="I32:I35 I19:I30 K16:L47">
    <cfRule type="cellIs" dxfId="108" priority="1" operator="equal">
      <formula>0</formula>
    </cfRule>
  </conditionalFormatting>
  <conditionalFormatting sqref="M16:O47">
    <cfRule type="cellIs" dxfId="107" priority="7" stopIfTrue="1" operator="equal">
      <formula>0</formula>
    </cfRule>
  </conditionalFormatting>
  <conditionalFormatting sqref="H16:H24 H30 H32:H34">
    <cfRule type="expression" dxfId="106" priority="6" stopIfTrue="1">
      <formula>MOD(ROW(),2)=0</formula>
    </cfRule>
  </conditionalFormatting>
  <conditionalFormatting sqref="U53:V65532 U12:V12 Q13:R13">
    <cfRule type="cellIs" dxfId="105" priority="5" stopIfTrue="1" operator="notEqual">
      <formula>0</formula>
    </cfRule>
  </conditionalFormatting>
  <conditionalFormatting sqref="H25:H30">
    <cfRule type="expression" dxfId="104" priority="4" stopIfTrue="1">
      <formula>MOD(ROW(), 2)=0</formula>
    </cfRule>
  </conditionalFormatting>
  <conditionalFormatting sqref="I16:I18">
    <cfRule type="cellIs" dxfId="103" priority="3" stopIfTrue="1" operator="equal">
      <formula>0</formula>
    </cfRule>
  </conditionalFormatting>
  <conditionalFormatting sqref="E25">
    <cfRule type="cellIs" dxfId="102" priority="2" operator="notEqual">
      <formula>"GC 76000 PA ($" &amp;O11&amp;" for every 10) breakdown = local Board of Supervisor resolution (BOS)."</formula>
    </cfRule>
  </conditionalFormatting>
  <pageMargins left="0.7" right="0.7" top="0.75" bottom="0.75" header="0.3" footer="0.3"/>
  <pageSetup scale="55" orientation="landscape" r:id="rId1"/>
  <ignoredErrors>
    <ignoredError sqref="O35 L35" formula="1"/>
    <ignoredError sqref="M15"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486401" r:id="rId4" name="Button 1">
              <controlPr defaultSize="0" print="0" autoFill="0" autoPict="0" macro="[3]!mcrDisableTwoPercentUnprotect">
                <anchor moveWithCells="1">
                  <from>
                    <xdr:col>0</xdr:col>
                    <xdr:colOff>9525</xdr:colOff>
                    <xdr:row>13</xdr:row>
                    <xdr:rowOff>523875</xdr:rowOff>
                  </from>
                  <to>
                    <xdr:col>0</xdr:col>
                    <xdr:colOff>276225</xdr:colOff>
                    <xdr:row>15</xdr:row>
                    <xdr:rowOff>171450</xdr:rowOff>
                  </to>
                </anchor>
              </controlPr>
            </control>
          </mc:Choice>
        </mc:AlternateContent>
        <mc:AlternateContent xmlns:mc="http://schemas.openxmlformats.org/markup-compatibility/2006">
          <mc:Choice Requires="x14">
            <control shapeId="486402" r:id="rId5" name="Button 2">
              <controlPr defaultSize="0" print="0" autoFill="0" autoPict="0" macro="[3]!mcrEnableTwoPercentUnprotect">
                <anchor moveWithCells="1">
                  <from>
                    <xdr:col>0</xdr:col>
                    <xdr:colOff>0</xdr:colOff>
                    <xdr:row>13</xdr:row>
                    <xdr:rowOff>219075</xdr:rowOff>
                  </from>
                  <to>
                    <xdr:col>0</xdr:col>
                    <xdr:colOff>276225</xdr:colOff>
                    <xdr:row>16</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O43"/>
  <sheetViews>
    <sheetView showGridLines="0" zoomScale="90" zoomScaleNormal="90" zoomScaleSheetLayoutView="80" workbookViewId="0">
      <selection activeCell="S37" sqref="S37"/>
    </sheetView>
  </sheetViews>
  <sheetFormatPr defaultRowHeight="18.75" x14ac:dyDescent="0.2"/>
  <cols>
    <col min="1" max="1" width="4.28515625" style="98" customWidth="1"/>
    <col min="2" max="2" width="6.42578125" style="98" customWidth="1"/>
    <col min="3" max="3" width="13.5703125" style="98" customWidth="1"/>
    <col min="4" max="4" width="13.140625" style="98" customWidth="1"/>
    <col min="5" max="5" width="10" style="99" customWidth="1"/>
    <col min="6" max="6" width="16" style="133" customWidth="1"/>
    <col min="7" max="7" width="11.28515625" style="50" customWidth="1"/>
    <col min="8" max="8" width="29.42578125" style="50" hidden="1" customWidth="1"/>
    <col min="9" max="9" width="12.42578125" style="50" customWidth="1"/>
    <col min="10" max="10" width="8.42578125" style="50" customWidth="1"/>
    <col min="11" max="11" width="11.140625" style="103" customWidth="1"/>
    <col min="12" max="12" width="1.7109375" style="100" customWidth="1"/>
    <col min="13" max="13" width="18.140625" style="50" customWidth="1"/>
    <col min="14" max="14" width="10.85546875" style="50" customWidth="1"/>
    <col min="15" max="15" width="13.42578125" style="50" customWidth="1"/>
  </cols>
  <sheetData>
    <row r="1" spans="1:15" ht="24.75" customHeight="1" thickBot="1" x14ac:dyDescent="0.25">
      <c r="A1" s="1932" t="s">
        <v>580</v>
      </c>
      <c r="B1" s="1546"/>
      <c r="C1" s="1546"/>
      <c r="D1" s="1546"/>
      <c r="E1" s="1546"/>
      <c r="F1" s="1546"/>
      <c r="G1" s="1546"/>
      <c r="H1" s="1546"/>
      <c r="I1" s="1546"/>
      <c r="J1" s="1546"/>
      <c r="K1" s="1546"/>
      <c r="L1" s="1546"/>
      <c r="M1" s="1546"/>
      <c r="N1" s="1546"/>
      <c r="O1" s="1547"/>
    </row>
    <row r="2" spans="1:15" ht="19.5" thickBot="1" x14ac:dyDescent="0.25">
      <c r="A2" s="815"/>
      <c r="B2" s="51"/>
      <c r="C2" s="51"/>
      <c r="D2" s="51"/>
      <c r="E2" s="51"/>
      <c r="F2" s="51"/>
      <c r="G2" s="51"/>
      <c r="H2" s="51"/>
      <c r="I2" s="51"/>
      <c r="J2" s="52"/>
      <c r="K2" s="52"/>
      <c r="L2" s="52"/>
      <c r="M2" s="52"/>
      <c r="N2" s="52"/>
      <c r="O2" s="865"/>
    </row>
    <row r="3" spans="1:15" ht="19.5" thickBot="1" x14ac:dyDescent="0.25">
      <c r="A3" s="1675" t="s">
        <v>234</v>
      </c>
      <c r="B3" s="1676"/>
      <c r="C3" s="1676"/>
      <c r="D3" s="1676"/>
      <c r="E3" s="1676"/>
      <c r="F3" s="1941"/>
      <c r="G3" s="1941"/>
      <c r="H3" s="1941"/>
      <c r="I3" s="1941"/>
      <c r="J3" s="1941"/>
      <c r="K3" s="1941"/>
      <c r="L3" s="1941"/>
      <c r="M3" s="1941"/>
      <c r="N3" s="1941"/>
      <c r="O3" s="1942"/>
    </row>
    <row r="4" spans="1:15" ht="15.75" x14ac:dyDescent="0.2">
      <c r="A4" s="1379" t="s">
        <v>231</v>
      </c>
      <c r="B4" s="1380"/>
      <c r="C4" s="1380"/>
      <c r="D4" s="1335"/>
      <c r="E4" s="1336"/>
      <c r="F4" s="1332" t="s">
        <v>28</v>
      </c>
      <c r="G4" s="1334"/>
      <c r="H4" s="187"/>
      <c r="I4" s="1943" t="s">
        <v>574</v>
      </c>
      <c r="J4" s="1943"/>
      <c r="K4" s="1943"/>
      <c r="L4" s="1943"/>
      <c r="M4" s="1380" t="s">
        <v>257</v>
      </c>
      <c r="N4" s="1380"/>
      <c r="O4" s="55">
        <v>70</v>
      </c>
    </row>
    <row r="5" spans="1:15" ht="15.75" x14ac:dyDescent="0.2">
      <c r="A5" s="1384" t="s">
        <v>4</v>
      </c>
      <c r="B5" s="1385"/>
      <c r="C5" s="1385"/>
      <c r="D5" s="1289">
        <v>43110</v>
      </c>
      <c r="E5" s="1283"/>
      <c r="F5" s="1291" t="s">
        <v>244</v>
      </c>
      <c r="G5" s="1278"/>
      <c r="H5" s="185"/>
      <c r="I5" s="1937" t="s">
        <v>575</v>
      </c>
      <c r="J5" s="1937"/>
      <c r="K5" s="1937"/>
      <c r="L5" s="1937"/>
      <c r="M5" s="1387" t="s">
        <v>22</v>
      </c>
      <c r="N5" s="1387"/>
      <c r="O5" s="58"/>
    </row>
    <row r="6" spans="1:15" ht="15.75" x14ac:dyDescent="0.2">
      <c r="A6" s="1384" t="s">
        <v>12</v>
      </c>
      <c r="B6" s="1385"/>
      <c r="C6" s="1385"/>
      <c r="D6" s="1289">
        <v>43141</v>
      </c>
      <c r="E6" s="1290"/>
      <c r="F6" s="1291" t="s">
        <v>20</v>
      </c>
      <c r="G6" s="1278"/>
      <c r="H6" s="185"/>
      <c r="I6" s="1937" t="s">
        <v>317</v>
      </c>
      <c r="J6" s="1937"/>
      <c r="K6" s="1937"/>
      <c r="L6" s="1937"/>
      <c r="M6" s="1387" t="s">
        <v>233</v>
      </c>
      <c r="N6" s="1387"/>
      <c r="O6" s="788">
        <f>O4+O5*10</f>
        <v>70</v>
      </c>
    </row>
    <row r="7" spans="1:15" ht="16.5" thickBot="1" x14ac:dyDescent="0.25">
      <c r="A7" s="1384" t="s">
        <v>5</v>
      </c>
      <c r="B7" s="1385"/>
      <c r="C7" s="1385"/>
      <c r="D7" s="1282" t="s">
        <v>576</v>
      </c>
      <c r="E7" s="1283"/>
      <c r="F7" s="1284" t="s">
        <v>21</v>
      </c>
      <c r="G7" s="1285"/>
      <c r="H7" s="186"/>
      <c r="I7" s="1938" t="s">
        <v>3</v>
      </c>
      <c r="J7" s="1938"/>
      <c r="K7" s="1938"/>
      <c r="L7" s="1938"/>
      <c r="M7" s="792"/>
      <c r="N7" s="862"/>
      <c r="O7" s="863"/>
    </row>
    <row r="8" spans="1:15" ht="15.75" customHeight="1" x14ac:dyDescent="0.2">
      <c r="A8" s="1394" t="s">
        <v>54</v>
      </c>
      <c r="B8" s="1395"/>
      <c r="C8" s="1395"/>
      <c r="D8" s="1298">
        <v>1</v>
      </c>
      <c r="E8" s="1299"/>
      <c r="F8" s="1332" t="s">
        <v>253</v>
      </c>
      <c r="G8" s="1334"/>
      <c r="H8" s="187"/>
      <c r="I8" s="1939"/>
      <c r="J8" s="1939"/>
      <c r="K8" s="1939"/>
      <c r="L8" s="1940"/>
      <c r="M8" s="1333" t="s">
        <v>257</v>
      </c>
      <c r="N8" s="1333"/>
      <c r="O8" s="55">
        <v>0</v>
      </c>
    </row>
    <row r="9" spans="1:15" ht="15.75" x14ac:dyDescent="0.2">
      <c r="A9" s="1402" t="s">
        <v>53</v>
      </c>
      <c r="B9" s="1403"/>
      <c r="C9" s="1403"/>
      <c r="D9" s="1404">
        <f>100%-D8</f>
        <v>0</v>
      </c>
      <c r="E9" s="1405"/>
      <c r="F9" s="1291" t="s">
        <v>244</v>
      </c>
      <c r="G9" s="1278"/>
      <c r="H9" s="185"/>
      <c r="I9" s="1935"/>
      <c r="J9" s="1935"/>
      <c r="K9" s="1935"/>
      <c r="L9" s="1936"/>
      <c r="M9" s="1388" t="s">
        <v>22</v>
      </c>
      <c r="N9" s="1388"/>
      <c r="O9" s="58"/>
    </row>
    <row r="10" spans="1:15" ht="31.5" customHeight="1" x14ac:dyDescent="0.2">
      <c r="A10" s="1436" t="s">
        <v>276</v>
      </c>
      <c r="B10" s="1437"/>
      <c r="C10" s="1437"/>
      <c r="D10" s="1910">
        <f>O6+O10</f>
        <v>70</v>
      </c>
      <c r="E10" s="1934"/>
      <c r="F10" s="1291" t="s">
        <v>20</v>
      </c>
      <c r="G10" s="1278"/>
      <c r="H10" s="185"/>
      <c r="I10" s="1935"/>
      <c r="J10" s="1935"/>
      <c r="K10" s="1935"/>
      <c r="L10" s="1936"/>
      <c r="M10" s="1389" t="s">
        <v>233</v>
      </c>
      <c r="N10" s="1389"/>
      <c r="O10" s="212">
        <f>O8+O9*10</f>
        <v>0</v>
      </c>
    </row>
    <row r="11" spans="1:15" ht="19.5" thickBot="1" x14ac:dyDescent="0.25">
      <c r="A11" s="1439" t="s">
        <v>277</v>
      </c>
      <c r="B11" s="1440"/>
      <c r="C11" s="1440"/>
      <c r="D11" s="1649">
        <f>ROUNDUP(D10/10,0)</f>
        <v>7</v>
      </c>
      <c r="E11" s="1650"/>
      <c r="F11" s="1284" t="s">
        <v>21</v>
      </c>
      <c r="G11" s="1285"/>
      <c r="H11" s="186"/>
      <c r="I11" s="1933"/>
      <c r="J11" s="1933"/>
      <c r="K11" s="1933"/>
      <c r="L11" s="1933"/>
      <c r="M11" s="1800" t="s">
        <v>568</v>
      </c>
      <c r="N11" s="1800"/>
      <c r="O11" s="841">
        <f>'Local Penalties'!B8</f>
        <v>5</v>
      </c>
    </row>
    <row r="12" spans="1:15" ht="19.5" thickBot="1" x14ac:dyDescent="0.25">
      <c r="A12" s="866"/>
      <c r="B12" s="867"/>
      <c r="C12" s="817"/>
      <c r="D12" s="817"/>
      <c r="E12" s="817"/>
      <c r="F12" s="66"/>
      <c r="G12" s="59"/>
      <c r="H12" s="60"/>
      <c r="I12" s="61"/>
      <c r="J12" s="61"/>
      <c r="K12" s="61"/>
      <c r="L12" s="61"/>
      <c r="M12" s="813"/>
      <c r="N12" s="813"/>
      <c r="O12" s="818"/>
    </row>
    <row r="13" spans="1:15" ht="19.5" thickBot="1" x14ac:dyDescent="0.25">
      <c r="A13" s="819"/>
      <c r="B13" s="192"/>
      <c r="C13" s="192"/>
      <c r="D13" s="192"/>
      <c r="E13" s="192"/>
      <c r="F13" s="107"/>
      <c r="G13" s="814"/>
      <c r="H13" s="820"/>
      <c r="I13" s="1758" t="s">
        <v>297</v>
      </c>
      <c r="J13" s="1759"/>
      <c r="K13" s="1760"/>
      <c r="L13" s="110"/>
      <c r="M13" s="1764" t="s">
        <v>578</v>
      </c>
      <c r="N13" s="1765"/>
      <c r="O13" s="1766"/>
    </row>
    <row r="14" spans="1:15" ht="57.75" customHeight="1" thickBot="1" x14ac:dyDescent="0.25">
      <c r="A14" s="849">
        <v>0.02</v>
      </c>
      <c r="B14" s="849" t="s">
        <v>58</v>
      </c>
      <c r="C14" s="1364" t="s">
        <v>226</v>
      </c>
      <c r="D14" s="1365"/>
      <c r="E14" s="1365"/>
      <c r="F14" s="1366"/>
      <c r="G14" s="851" t="s">
        <v>249</v>
      </c>
      <c r="H14" s="114" t="s">
        <v>0</v>
      </c>
      <c r="I14" s="1805" t="s">
        <v>298</v>
      </c>
      <c r="J14" s="1747" t="s">
        <v>6</v>
      </c>
      <c r="K14" s="854" t="s">
        <v>299</v>
      </c>
      <c r="L14" s="67"/>
      <c r="M14" s="853" t="s">
        <v>428</v>
      </c>
      <c r="N14" s="1747" t="s">
        <v>6</v>
      </c>
      <c r="O14" s="854" t="s">
        <v>299</v>
      </c>
    </row>
    <row r="15" spans="1:15" ht="16.5" thickBot="1" x14ac:dyDescent="0.25">
      <c r="A15" s="850"/>
      <c r="B15" s="850"/>
      <c r="C15" s="1367"/>
      <c r="D15" s="1368"/>
      <c r="E15" s="1368"/>
      <c r="F15" s="1369"/>
      <c r="G15" s="852"/>
      <c r="H15" s="852"/>
      <c r="I15" s="1806"/>
      <c r="J15" s="1748"/>
      <c r="K15" s="244"/>
      <c r="L15" s="68"/>
      <c r="M15" s="419">
        <f>(M35-M31)/(I35-I31)</f>
        <v>0</v>
      </c>
      <c r="N15" s="1748"/>
      <c r="O15" s="244"/>
    </row>
    <row r="16" spans="1:15" ht="15.75" hidden="1" thickTop="1" x14ac:dyDescent="0.2">
      <c r="A16" s="821" t="s">
        <v>8</v>
      </c>
      <c r="B16" s="195"/>
      <c r="C16" s="1692"/>
      <c r="D16" s="1692"/>
      <c r="E16" s="1692"/>
      <c r="F16" s="1692"/>
      <c r="G16" s="70"/>
      <c r="H16" s="71"/>
      <c r="I16" s="154"/>
      <c r="J16" s="162"/>
      <c r="K16" s="198"/>
      <c r="L16" s="164"/>
      <c r="M16" s="160"/>
      <c r="N16" s="162"/>
      <c r="O16" s="868"/>
    </row>
    <row r="17" spans="1:15" ht="15" hidden="1" x14ac:dyDescent="0.2">
      <c r="A17" s="821" t="s">
        <v>8</v>
      </c>
      <c r="B17" s="262"/>
      <c r="C17" s="1665"/>
      <c r="D17" s="1700"/>
      <c r="E17" s="1700"/>
      <c r="F17" s="1701"/>
      <c r="G17" s="76"/>
      <c r="H17" s="77"/>
      <c r="I17" s="156"/>
      <c r="J17" s="162"/>
      <c r="K17" s="167"/>
      <c r="L17" s="164"/>
      <c r="M17" s="160"/>
      <c r="N17" s="162"/>
      <c r="O17" s="822"/>
    </row>
    <row r="18" spans="1:15" ht="15" hidden="1" x14ac:dyDescent="0.2">
      <c r="A18" s="821" t="s">
        <v>8</v>
      </c>
      <c r="B18" s="262"/>
      <c r="C18" s="1692"/>
      <c r="D18" s="1692"/>
      <c r="E18" s="1692"/>
      <c r="F18" s="1692"/>
      <c r="G18" s="281"/>
      <c r="H18" s="77"/>
      <c r="I18" s="156"/>
      <c r="J18" s="162"/>
      <c r="K18" s="167"/>
      <c r="L18" s="164"/>
      <c r="M18" s="160"/>
      <c r="N18" s="162"/>
      <c r="O18" s="822"/>
    </row>
    <row r="19" spans="1:15" ht="15" x14ac:dyDescent="0.2">
      <c r="A19" s="821" t="s">
        <v>8</v>
      </c>
      <c r="B19" s="1801" t="s">
        <v>241</v>
      </c>
      <c r="C19" s="1659" t="s">
        <v>212</v>
      </c>
      <c r="D19" s="1659"/>
      <c r="E19" s="1659"/>
      <c r="F19" s="1659"/>
      <c r="G19" s="847" t="s">
        <v>32</v>
      </c>
      <c r="H19" s="77" t="s">
        <v>27</v>
      </c>
      <c r="I19" s="155">
        <f>(D10-SUM(I16:I18))*D8</f>
        <v>70</v>
      </c>
      <c r="J19" s="162">
        <f>IF(A19="Y",I19* 2%,0)</f>
        <v>1.4000000000000001</v>
      </c>
      <c r="K19" s="167">
        <f>I19-J19</f>
        <v>68.599999999999994</v>
      </c>
      <c r="L19" s="164"/>
      <c r="M19" s="160">
        <f>IF($M$43=0,,I19*$M$15)</f>
        <v>0</v>
      </c>
      <c r="N19" s="162">
        <f t="shared" ref="N19:N34" si="0">IF(A19="Y", M19*2%,)</f>
        <v>0</v>
      </c>
      <c r="O19" s="822">
        <f t="shared" ref="O19:O40" si="1">M19-N19</f>
        <v>0</v>
      </c>
    </row>
    <row r="20" spans="1:15" ht="15" x14ac:dyDescent="0.2">
      <c r="A20" s="821" t="s">
        <v>8</v>
      </c>
      <c r="B20" s="1802"/>
      <c r="C20" s="1659" t="s">
        <v>213</v>
      </c>
      <c r="D20" s="1659"/>
      <c r="E20" s="1659"/>
      <c r="F20" s="1659"/>
      <c r="G20" s="847" t="s">
        <v>52</v>
      </c>
      <c r="H20" s="77" t="s">
        <v>25</v>
      </c>
      <c r="I20" s="155">
        <f>(D10-SUM(I16:I18))*D9</f>
        <v>0</v>
      </c>
      <c r="J20" s="162">
        <f t="shared" ref="J20:J34" si="2">IF(A20="Y",I20* 2%,0)</f>
        <v>0</v>
      </c>
      <c r="K20" s="167">
        <f t="shared" ref="K20:K33" si="3">I20-J20</f>
        <v>0</v>
      </c>
      <c r="L20" s="164"/>
      <c r="M20" s="160">
        <f t="shared" ref="M20:M30" si="4">IF($M$43=0,,I20*$M$15)</f>
        <v>0</v>
      </c>
      <c r="N20" s="162">
        <f t="shared" si="0"/>
        <v>0</v>
      </c>
      <c r="O20" s="822">
        <f t="shared" si="1"/>
        <v>0</v>
      </c>
    </row>
    <row r="21" spans="1:15" ht="15" x14ac:dyDescent="0.2">
      <c r="A21" s="821" t="s">
        <v>8</v>
      </c>
      <c r="B21" s="75">
        <v>7</v>
      </c>
      <c r="C21" s="1659" t="s">
        <v>214</v>
      </c>
      <c r="D21" s="1659"/>
      <c r="E21" s="1659"/>
      <c r="F21" s="1659"/>
      <c r="G21" s="847" t="s">
        <v>31</v>
      </c>
      <c r="H21" s="77" t="s">
        <v>26</v>
      </c>
      <c r="I21" s="155">
        <f>$D$11*B21</f>
        <v>49</v>
      </c>
      <c r="J21" s="162">
        <f t="shared" si="2"/>
        <v>0.98</v>
      </c>
      <c r="K21" s="167">
        <f t="shared" si="3"/>
        <v>48.02</v>
      </c>
      <c r="L21" s="164"/>
      <c r="M21" s="160">
        <f t="shared" si="4"/>
        <v>0</v>
      </c>
      <c r="N21" s="162">
        <f t="shared" si="0"/>
        <v>0</v>
      </c>
      <c r="O21" s="822">
        <f t="shared" si="1"/>
        <v>0</v>
      </c>
    </row>
    <row r="22" spans="1:15" ht="15" x14ac:dyDescent="0.2">
      <c r="A22" s="821" t="s">
        <v>8</v>
      </c>
      <c r="B22" s="75">
        <v>3</v>
      </c>
      <c r="C22" s="1665" t="s">
        <v>215</v>
      </c>
      <c r="D22" s="1700"/>
      <c r="E22" s="1700"/>
      <c r="F22" s="1701"/>
      <c r="G22" s="847" t="s">
        <v>32</v>
      </c>
      <c r="H22" s="77" t="s">
        <v>27</v>
      </c>
      <c r="I22" s="155">
        <f t="shared" ref="I22:I33" si="5">$D$11*B22</f>
        <v>21</v>
      </c>
      <c r="J22" s="162">
        <f t="shared" si="2"/>
        <v>0.42</v>
      </c>
      <c r="K22" s="167">
        <f t="shared" si="3"/>
        <v>20.58</v>
      </c>
      <c r="L22" s="164"/>
      <c r="M22" s="160">
        <f t="shared" si="4"/>
        <v>0</v>
      </c>
      <c r="N22" s="162">
        <f t="shared" si="0"/>
        <v>0</v>
      </c>
      <c r="O22" s="822">
        <f t="shared" si="1"/>
        <v>0</v>
      </c>
    </row>
    <row r="23" spans="1:15" ht="15" customHeight="1" x14ac:dyDescent="0.2">
      <c r="A23" s="821" t="s">
        <v>8</v>
      </c>
      <c r="B23" s="75">
        <v>1</v>
      </c>
      <c r="C23" s="1665" t="s">
        <v>216</v>
      </c>
      <c r="D23" s="1700"/>
      <c r="E23" s="1700"/>
      <c r="F23" s="1701"/>
      <c r="G23" s="847" t="s">
        <v>32</v>
      </c>
      <c r="H23" s="77" t="s">
        <v>55</v>
      </c>
      <c r="I23" s="155">
        <f t="shared" si="5"/>
        <v>7</v>
      </c>
      <c r="J23" s="162">
        <f t="shared" si="2"/>
        <v>0.14000000000000001</v>
      </c>
      <c r="K23" s="167">
        <f t="shared" si="3"/>
        <v>6.86</v>
      </c>
      <c r="L23" s="164"/>
      <c r="M23" s="160">
        <f t="shared" si="4"/>
        <v>0</v>
      </c>
      <c r="N23" s="162">
        <f t="shared" si="0"/>
        <v>0</v>
      </c>
      <c r="O23" s="822">
        <f t="shared" si="1"/>
        <v>0</v>
      </c>
    </row>
    <row r="24" spans="1:15" ht="15" x14ac:dyDescent="0.2">
      <c r="A24" s="821" t="s">
        <v>8</v>
      </c>
      <c r="B24" s="75">
        <v>4</v>
      </c>
      <c r="C24" s="1665" t="s">
        <v>466</v>
      </c>
      <c r="D24" s="1700"/>
      <c r="E24" s="1700"/>
      <c r="F24" s="1701"/>
      <c r="G24" s="847" t="s">
        <v>31</v>
      </c>
      <c r="H24" s="77" t="s">
        <v>72</v>
      </c>
      <c r="I24" s="155">
        <f t="shared" si="5"/>
        <v>28</v>
      </c>
      <c r="J24" s="162">
        <f t="shared" si="2"/>
        <v>0.56000000000000005</v>
      </c>
      <c r="K24" s="167">
        <f t="shared" si="3"/>
        <v>27.44</v>
      </c>
      <c r="L24" s="164"/>
      <c r="M24" s="160">
        <f t="shared" si="4"/>
        <v>0</v>
      </c>
      <c r="N24" s="162">
        <f t="shared" si="0"/>
        <v>0</v>
      </c>
      <c r="O24" s="822">
        <f t="shared" si="1"/>
        <v>0</v>
      </c>
    </row>
    <row r="25" spans="1:15" ht="18.75" customHeight="1" x14ac:dyDescent="0.2">
      <c r="A25" s="821" t="s">
        <v>8</v>
      </c>
      <c r="B25" s="782">
        <v>2</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847" t="s">
        <v>32</v>
      </c>
      <c r="H25" s="77" t="s">
        <v>64</v>
      </c>
      <c r="I25" s="155">
        <f t="shared" si="5"/>
        <v>14</v>
      </c>
      <c r="J25" s="162">
        <f t="shared" si="2"/>
        <v>0.28000000000000003</v>
      </c>
      <c r="K25" s="167">
        <f t="shared" si="3"/>
        <v>13.72</v>
      </c>
      <c r="L25" s="164"/>
      <c r="M25" s="160">
        <f t="shared" si="4"/>
        <v>0</v>
      </c>
      <c r="N25" s="162">
        <f t="shared" si="0"/>
        <v>0</v>
      </c>
      <c r="O25" s="822">
        <f t="shared" si="1"/>
        <v>0</v>
      </c>
    </row>
    <row r="26" spans="1:15" ht="15.75" customHeight="1" x14ac:dyDescent="0.2">
      <c r="A26" s="821" t="s">
        <v>8</v>
      </c>
      <c r="B26" s="782">
        <v>2</v>
      </c>
      <c r="C26" s="1659" t="s">
        <v>218</v>
      </c>
      <c r="D26" s="1659"/>
      <c r="E26" s="1741"/>
      <c r="F26" s="1742"/>
      <c r="G26" s="847" t="s">
        <v>32</v>
      </c>
      <c r="H26" s="77" t="s">
        <v>35</v>
      </c>
      <c r="I26" s="155">
        <f t="shared" si="5"/>
        <v>14</v>
      </c>
      <c r="J26" s="162">
        <f t="shared" si="2"/>
        <v>0.28000000000000003</v>
      </c>
      <c r="K26" s="167">
        <f t="shared" si="3"/>
        <v>13.72</v>
      </c>
      <c r="L26" s="164"/>
      <c r="M26" s="160">
        <f t="shared" si="4"/>
        <v>0</v>
      </c>
      <c r="N26" s="162">
        <f t="shared" si="0"/>
        <v>0</v>
      </c>
      <c r="O26" s="822">
        <f t="shared" si="1"/>
        <v>0</v>
      </c>
    </row>
    <row r="27" spans="1:15" ht="15.75" customHeight="1" x14ac:dyDescent="0.2">
      <c r="A27" s="821" t="s">
        <v>8</v>
      </c>
      <c r="B27" s="782">
        <v>2</v>
      </c>
      <c r="C27" s="1659" t="s">
        <v>219</v>
      </c>
      <c r="D27" s="1659"/>
      <c r="E27" s="1741"/>
      <c r="F27" s="1742"/>
      <c r="G27" s="847" t="s">
        <v>32</v>
      </c>
      <c r="H27" s="77" t="s">
        <v>65</v>
      </c>
      <c r="I27" s="155">
        <f t="shared" si="5"/>
        <v>14</v>
      </c>
      <c r="J27" s="162">
        <f t="shared" si="2"/>
        <v>0.28000000000000003</v>
      </c>
      <c r="K27" s="167">
        <f t="shared" si="3"/>
        <v>13.72</v>
      </c>
      <c r="L27" s="164"/>
      <c r="M27" s="160">
        <f t="shared" si="4"/>
        <v>0</v>
      </c>
      <c r="N27" s="162">
        <f t="shared" si="0"/>
        <v>0</v>
      </c>
      <c r="O27" s="822">
        <f t="shared" si="1"/>
        <v>0</v>
      </c>
    </row>
    <row r="28" spans="1:15" ht="18.75" customHeight="1" x14ac:dyDescent="0.2">
      <c r="A28" s="821" t="s">
        <v>8</v>
      </c>
      <c r="B28" s="782">
        <v>0</v>
      </c>
      <c r="C28" s="1659" t="s">
        <v>401</v>
      </c>
      <c r="D28" s="1659"/>
      <c r="E28" s="1741"/>
      <c r="F28" s="1742"/>
      <c r="G28" s="847" t="s">
        <v>32</v>
      </c>
      <c r="H28" s="77" t="s">
        <v>65</v>
      </c>
      <c r="I28" s="155">
        <f>$D$11*B28</f>
        <v>0</v>
      </c>
      <c r="J28" s="162">
        <f>IF(A28="Y",I28* 2%,0)</f>
        <v>0</v>
      </c>
      <c r="K28" s="167">
        <f>I28-J28</f>
        <v>0</v>
      </c>
      <c r="L28" s="164"/>
      <c r="M28" s="160">
        <f t="shared" si="4"/>
        <v>0</v>
      </c>
      <c r="N28" s="162">
        <f t="shared" si="0"/>
        <v>0</v>
      </c>
      <c r="O28" s="822">
        <f>M28-N28</f>
        <v>0</v>
      </c>
    </row>
    <row r="29" spans="1:15" ht="15" x14ac:dyDescent="0.2">
      <c r="A29" s="821" t="s">
        <v>8</v>
      </c>
      <c r="B29" s="782">
        <v>1</v>
      </c>
      <c r="C29" s="1659" t="s">
        <v>254</v>
      </c>
      <c r="D29" s="1659"/>
      <c r="E29" s="1743"/>
      <c r="F29" s="1744"/>
      <c r="G29" s="847" t="s">
        <v>32</v>
      </c>
      <c r="H29" s="77"/>
      <c r="I29" s="155">
        <f t="shared" si="5"/>
        <v>7</v>
      </c>
      <c r="J29" s="162">
        <f t="shared" si="2"/>
        <v>0.14000000000000001</v>
      </c>
      <c r="K29" s="167">
        <f t="shared" si="3"/>
        <v>6.86</v>
      </c>
      <c r="L29" s="164"/>
      <c r="M29" s="160">
        <f t="shared" si="4"/>
        <v>0</v>
      </c>
      <c r="N29" s="162">
        <f t="shared" si="0"/>
        <v>0</v>
      </c>
      <c r="O29" s="822">
        <f t="shared" si="1"/>
        <v>0</v>
      </c>
    </row>
    <row r="30" spans="1:15" ht="15" x14ac:dyDescent="0.2">
      <c r="A30" s="821" t="s">
        <v>8</v>
      </c>
      <c r="B30" s="782">
        <v>2</v>
      </c>
      <c r="C30" s="1449" t="s">
        <v>286</v>
      </c>
      <c r="D30" s="1459"/>
      <c r="E30" s="1459"/>
      <c r="F30" s="1460"/>
      <c r="G30" s="855" t="s">
        <v>32</v>
      </c>
      <c r="H30" s="84" t="s">
        <v>36</v>
      </c>
      <c r="I30" s="155">
        <f t="shared" si="5"/>
        <v>14</v>
      </c>
      <c r="J30" s="162">
        <f t="shared" si="2"/>
        <v>0.28000000000000003</v>
      </c>
      <c r="K30" s="167">
        <f t="shared" si="3"/>
        <v>13.72</v>
      </c>
      <c r="L30" s="164"/>
      <c r="M30" s="160">
        <f t="shared" si="4"/>
        <v>0</v>
      </c>
      <c r="N30" s="162">
        <f t="shared" si="0"/>
        <v>0</v>
      </c>
      <c r="O30" s="822">
        <f t="shared" si="1"/>
        <v>0</v>
      </c>
    </row>
    <row r="31" spans="1:15" ht="15" x14ac:dyDescent="0.2">
      <c r="A31" s="821" t="s">
        <v>8</v>
      </c>
      <c r="B31" s="75"/>
      <c r="C31" s="1449" t="s">
        <v>385</v>
      </c>
      <c r="D31" s="1459"/>
      <c r="E31" s="1459"/>
      <c r="F31" s="1460"/>
      <c r="G31" s="855" t="s">
        <v>31</v>
      </c>
      <c r="H31" s="91" t="s">
        <v>39</v>
      </c>
      <c r="I31" s="204">
        <v>4</v>
      </c>
      <c r="J31" s="162">
        <f>IF(A31="Y", I31*2%,0)</f>
        <v>0.08</v>
      </c>
      <c r="K31" s="167">
        <f>I31-J31</f>
        <v>3.92</v>
      </c>
      <c r="L31" s="164"/>
      <c r="M31" s="155">
        <f>IF($M$43=0,,I31)</f>
        <v>0</v>
      </c>
      <c r="N31" s="162">
        <f t="shared" si="0"/>
        <v>0</v>
      </c>
      <c r="O31" s="822">
        <f>M31-N31</f>
        <v>0</v>
      </c>
    </row>
    <row r="32" spans="1:15" ht="30" x14ac:dyDescent="0.2">
      <c r="A32" s="821" t="s">
        <v>8</v>
      </c>
      <c r="B32" s="782">
        <v>2</v>
      </c>
      <c r="C32" s="1449" t="s">
        <v>555</v>
      </c>
      <c r="D32" s="1459"/>
      <c r="E32" s="1460"/>
      <c r="F32" s="1591" t="s">
        <v>281</v>
      </c>
      <c r="G32" s="855" t="s">
        <v>31</v>
      </c>
      <c r="H32" s="84" t="s">
        <v>37</v>
      </c>
      <c r="I32" s="155">
        <f t="shared" si="5"/>
        <v>14</v>
      </c>
      <c r="J32" s="162">
        <f t="shared" si="2"/>
        <v>0.28000000000000003</v>
      </c>
      <c r="K32" s="167">
        <f t="shared" si="3"/>
        <v>13.72</v>
      </c>
      <c r="L32" s="164"/>
      <c r="M32" s="160">
        <f>IF($M$43=0,,I32*$M$15)</f>
        <v>0</v>
      </c>
      <c r="N32" s="162">
        <f t="shared" si="0"/>
        <v>0</v>
      </c>
      <c r="O32" s="822">
        <f t="shared" si="1"/>
        <v>0</v>
      </c>
    </row>
    <row r="33" spans="1:15" ht="15" x14ac:dyDescent="0.2">
      <c r="A33" s="821" t="s">
        <v>8</v>
      </c>
      <c r="B33" s="179">
        <f>5-B32</f>
        <v>3</v>
      </c>
      <c r="C33" s="1449" t="s">
        <v>556</v>
      </c>
      <c r="D33" s="1459"/>
      <c r="E33" s="1460"/>
      <c r="F33" s="1592"/>
      <c r="G33" s="855" t="s">
        <v>31</v>
      </c>
      <c r="H33" s="84" t="s">
        <v>197</v>
      </c>
      <c r="I33" s="155">
        <f t="shared" si="5"/>
        <v>21</v>
      </c>
      <c r="J33" s="162">
        <f t="shared" si="2"/>
        <v>0.42</v>
      </c>
      <c r="K33" s="167">
        <f t="shared" si="3"/>
        <v>20.58</v>
      </c>
      <c r="L33" s="164"/>
      <c r="M33" s="160">
        <f>IF($M$43=0,,I33*$M$15)</f>
        <v>0</v>
      </c>
      <c r="N33" s="162">
        <f t="shared" si="0"/>
        <v>0</v>
      </c>
      <c r="O33" s="822">
        <f t="shared" si="1"/>
        <v>0</v>
      </c>
    </row>
    <row r="34" spans="1:15" ht="15" x14ac:dyDescent="0.2">
      <c r="A34" s="821" t="s">
        <v>7</v>
      </c>
      <c r="B34" s="75"/>
      <c r="C34" s="1449" t="s">
        <v>220</v>
      </c>
      <c r="D34" s="1459"/>
      <c r="E34" s="1459"/>
      <c r="F34" s="1460"/>
      <c r="G34" s="855" t="s">
        <v>31</v>
      </c>
      <c r="H34" s="84" t="s">
        <v>10</v>
      </c>
      <c r="I34" s="155">
        <f>$D$10*20%</f>
        <v>14</v>
      </c>
      <c r="J34" s="162">
        <f t="shared" si="2"/>
        <v>0</v>
      </c>
      <c r="K34" s="167">
        <f>I34-J34</f>
        <v>14</v>
      </c>
      <c r="L34" s="164"/>
      <c r="M34" s="160">
        <f>IF($M$43=0,,I34*$M$15)</f>
        <v>0</v>
      </c>
      <c r="N34" s="162">
        <f t="shared" si="0"/>
        <v>0</v>
      </c>
      <c r="O34" s="822">
        <f t="shared" si="1"/>
        <v>0</v>
      </c>
    </row>
    <row r="35" spans="1:15" ht="15" x14ac:dyDescent="0.2">
      <c r="A35" s="821"/>
      <c r="B35" s="86"/>
      <c r="C35" s="1456" t="s">
        <v>221</v>
      </c>
      <c r="D35" s="1694"/>
      <c r="E35" s="1694"/>
      <c r="F35" s="1695"/>
      <c r="G35" s="703"/>
      <c r="H35" s="88"/>
      <c r="I35" s="157">
        <f>SUM(I16:I34)</f>
        <v>291</v>
      </c>
      <c r="J35" s="162"/>
      <c r="K35" s="168">
        <f>SUM(K16:K34)</f>
        <v>285.45999999999998</v>
      </c>
      <c r="L35" s="165"/>
      <c r="M35" s="157">
        <f>IF($M$43=0,,M43-SUM(M36:M40))</f>
        <v>0</v>
      </c>
      <c r="N35" s="162"/>
      <c r="O35" s="823">
        <f>SUM(O16:O34)</f>
        <v>0</v>
      </c>
    </row>
    <row r="36" spans="1:15" ht="15" x14ac:dyDescent="0.2">
      <c r="A36" s="821" t="s">
        <v>7</v>
      </c>
      <c r="B36" s="75"/>
      <c r="C36" s="1449" t="s">
        <v>419</v>
      </c>
      <c r="D36" s="1459"/>
      <c r="E36" s="1459"/>
      <c r="F36" s="1460"/>
      <c r="G36" s="855" t="s">
        <v>31</v>
      </c>
      <c r="H36" s="91"/>
      <c r="I36" s="204">
        <v>40</v>
      </c>
      <c r="J36" s="162">
        <f>IF(A36="Y", I36*2%,0)</f>
        <v>0</v>
      </c>
      <c r="K36" s="167">
        <f>I36-J36</f>
        <v>40</v>
      </c>
      <c r="L36" s="164"/>
      <c r="M36" s="155">
        <f>IF($M$43=0,,I36)</f>
        <v>0</v>
      </c>
      <c r="N36" s="162">
        <f>IF(A36="Y", M36*2%,)</f>
        <v>0</v>
      </c>
      <c r="O36" s="822">
        <f t="shared" ref="O36" si="6">M36-N36</f>
        <v>0</v>
      </c>
    </row>
    <row r="37" spans="1:15" ht="15" x14ac:dyDescent="0.2">
      <c r="A37" s="821" t="s">
        <v>7</v>
      </c>
      <c r="B37" s="75"/>
      <c r="C37" s="1446" t="s">
        <v>259</v>
      </c>
      <c r="D37" s="1447"/>
      <c r="E37" s="1447"/>
      <c r="F37" s="1448"/>
      <c r="G37" s="704" t="s">
        <v>31</v>
      </c>
      <c r="H37" s="92" t="s">
        <v>197</v>
      </c>
      <c r="I37" s="204">
        <v>35</v>
      </c>
      <c r="J37" s="162">
        <f t="shared" ref="J37:J40" si="7">IF(A37="Y", I37*2%,0)</f>
        <v>0</v>
      </c>
      <c r="K37" s="167">
        <f t="shared" ref="K37:K40" si="8">I37-J37</f>
        <v>35</v>
      </c>
      <c r="L37" s="164"/>
      <c r="M37" s="155">
        <f>IF($M$43=0,,I37)</f>
        <v>0</v>
      </c>
      <c r="N37" s="162">
        <f>IF(A37="Y", M37*2%,)</f>
        <v>0</v>
      </c>
      <c r="O37" s="822">
        <f t="shared" si="1"/>
        <v>0</v>
      </c>
    </row>
    <row r="38" spans="1:15" ht="15" x14ac:dyDescent="0.2">
      <c r="A38" s="821" t="s">
        <v>7</v>
      </c>
      <c r="B38" s="94"/>
      <c r="C38" s="1446" t="s">
        <v>421</v>
      </c>
      <c r="D38" s="1447"/>
      <c r="E38" s="1447"/>
      <c r="F38" s="1448"/>
      <c r="G38" s="704" t="s">
        <v>230</v>
      </c>
      <c r="H38" s="92" t="s">
        <v>24</v>
      </c>
      <c r="I38" s="204">
        <v>0</v>
      </c>
      <c r="J38" s="162">
        <f t="shared" si="7"/>
        <v>0</v>
      </c>
      <c r="K38" s="167">
        <f t="shared" si="8"/>
        <v>0</v>
      </c>
      <c r="L38" s="164"/>
      <c r="M38" s="155">
        <f>IF($M$43=0,,I38)</f>
        <v>0</v>
      </c>
      <c r="N38" s="162">
        <f>IF(A38="Y", M38*2%,)</f>
        <v>0</v>
      </c>
      <c r="O38" s="822">
        <f t="shared" si="1"/>
        <v>0</v>
      </c>
    </row>
    <row r="39" spans="1:15" ht="15" x14ac:dyDescent="0.2">
      <c r="A39" s="821" t="s">
        <v>7</v>
      </c>
      <c r="B39" s="94"/>
      <c r="C39" s="1449" t="s">
        <v>577</v>
      </c>
      <c r="D39" s="1447"/>
      <c r="E39" s="1447"/>
      <c r="F39" s="1448"/>
      <c r="G39" s="704" t="s">
        <v>230</v>
      </c>
      <c r="H39" s="92" t="s">
        <v>82</v>
      </c>
      <c r="I39" s="204">
        <v>0</v>
      </c>
      <c r="J39" s="162">
        <f t="shared" si="7"/>
        <v>0</v>
      </c>
      <c r="K39" s="167">
        <f t="shared" si="8"/>
        <v>0</v>
      </c>
      <c r="L39" s="164"/>
      <c r="M39" s="155">
        <f>IF($M$43=0,,I39)</f>
        <v>0</v>
      </c>
      <c r="N39" s="162">
        <f>IF(A39="Y", M39*2%,)</f>
        <v>0</v>
      </c>
      <c r="O39" s="822">
        <f t="shared" si="1"/>
        <v>0</v>
      </c>
    </row>
    <row r="40" spans="1:15" ht="15" x14ac:dyDescent="0.2">
      <c r="A40" s="821" t="s">
        <v>7</v>
      </c>
      <c r="B40" s="94"/>
      <c r="C40" s="1446" t="s">
        <v>225</v>
      </c>
      <c r="D40" s="1447"/>
      <c r="E40" s="1447"/>
      <c r="F40" s="1448"/>
      <c r="G40" s="704" t="s">
        <v>31</v>
      </c>
      <c r="H40" s="92" t="s">
        <v>80</v>
      </c>
      <c r="I40" s="204">
        <v>1</v>
      </c>
      <c r="J40" s="162">
        <f t="shared" si="7"/>
        <v>0</v>
      </c>
      <c r="K40" s="167">
        <f t="shared" si="8"/>
        <v>1</v>
      </c>
      <c r="L40" s="164"/>
      <c r="M40" s="155">
        <f>IF($M$43=0,,I40)</f>
        <v>0</v>
      </c>
      <c r="N40" s="162">
        <f>IF(A40="Y", M40*2%,)</f>
        <v>0</v>
      </c>
      <c r="O40" s="822">
        <f t="shared" si="1"/>
        <v>0</v>
      </c>
    </row>
    <row r="41" spans="1:15" ht="15" x14ac:dyDescent="0.2">
      <c r="A41" s="869" t="s">
        <v>7</v>
      </c>
      <c r="B41" s="94"/>
      <c r="C41" s="1665" t="s">
        <v>492</v>
      </c>
      <c r="D41" s="1700"/>
      <c r="E41" s="1700"/>
      <c r="F41" s="1701"/>
      <c r="G41" s="705" t="s">
        <v>31</v>
      </c>
      <c r="H41" s="96" t="s">
        <v>41</v>
      </c>
      <c r="I41" s="97"/>
      <c r="J41" s="163"/>
      <c r="K41" s="169">
        <f>J42</f>
        <v>5.5400000000000009</v>
      </c>
      <c r="L41" s="164"/>
      <c r="M41" s="104"/>
      <c r="N41" s="163"/>
      <c r="O41" s="824">
        <f>N42</f>
        <v>0</v>
      </c>
    </row>
    <row r="42" spans="1:15" ht="15" x14ac:dyDescent="0.2">
      <c r="A42" s="870"/>
      <c r="B42" s="826"/>
      <c r="C42" s="826"/>
      <c r="D42" s="826"/>
      <c r="E42" s="827"/>
      <c r="F42" s="827"/>
      <c r="G42" s="127"/>
      <c r="H42" s="127"/>
      <c r="I42" s="127"/>
      <c r="J42" s="828">
        <f>SUM(J16:J41)</f>
        <v>5.5400000000000009</v>
      </c>
      <c r="K42" s="170"/>
      <c r="L42" s="127"/>
      <c r="M42" s="127"/>
      <c r="N42" s="828">
        <f>SUM(N16:N41)</f>
        <v>0</v>
      </c>
      <c r="O42" s="829"/>
    </row>
    <row r="43" spans="1:15" ht="16.5" thickBot="1" x14ac:dyDescent="0.25">
      <c r="A43" s="871"/>
      <c r="B43" s="832"/>
      <c r="C43" s="832"/>
      <c r="D43" s="832"/>
      <c r="E43" s="833"/>
      <c r="F43" s="848" t="s">
        <v>81</v>
      </c>
      <c r="G43" s="834"/>
      <c r="H43" s="835" t="s">
        <v>1</v>
      </c>
      <c r="I43" s="836">
        <f>SUM(I35:I42)</f>
        <v>367</v>
      </c>
      <c r="J43" s="837"/>
      <c r="K43" s="838">
        <f>SUM(K35:K42)</f>
        <v>367</v>
      </c>
      <c r="L43" s="839"/>
      <c r="M43" s="872">
        <v>0</v>
      </c>
      <c r="N43" s="837"/>
      <c r="O43" s="873">
        <f>SUM(O35:O42)</f>
        <v>0</v>
      </c>
    </row>
  </sheetData>
  <mergeCells count="76">
    <mergeCell ref="A3:O3"/>
    <mergeCell ref="A4:C4"/>
    <mergeCell ref="D4:E4"/>
    <mergeCell ref="F4:G4"/>
    <mergeCell ref="I4:L4"/>
    <mergeCell ref="M4:N4"/>
    <mergeCell ref="A5:C5"/>
    <mergeCell ref="D5:E5"/>
    <mergeCell ref="F5:G5"/>
    <mergeCell ref="I5:L5"/>
    <mergeCell ref="M5:N5"/>
    <mergeCell ref="M8:N8"/>
    <mergeCell ref="A6:C6"/>
    <mergeCell ref="D6:E6"/>
    <mergeCell ref="F6:G6"/>
    <mergeCell ref="I6:L6"/>
    <mergeCell ref="M6:N6"/>
    <mergeCell ref="A7:C7"/>
    <mergeCell ref="D7:E7"/>
    <mergeCell ref="F7:G7"/>
    <mergeCell ref="I7:L7"/>
    <mergeCell ref="A8:C8"/>
    <mergeCell ref="D8:E8"/>
    <mergeCell ref="F8:G8"/>
    <mergeCell ref="I8:L8"/>
    <mergeCell ref="A9:C9"/>
    <mergeCell ref="D9:E9"/>
    <mergeCell ref="F9:G9"/>
    <mergeCell ref="I9:L9"/>
    <mergeCell ref="M9:N9"/>
    <mergeCell ref="A10:C10"/>
    <mergeCell ref="D10:E10"/>
    <mergeCell ref="F10:G10"/>
    <mergeCell ref="I10:L10"/>
    <mergeCell ref="M10:N10"/>
    <mergeCell ref="A11:C11"/>
    <mergeCell ref="D11:E11"/>
    <mergeCell ref="F11:G11"/>
    <mergeCell ref="I11:L11"/>
    <mergeCell ref="M11:N11"/>
    <mergeCell ref="C16:F16"/>
    <mergeCell ref="C17:F17"/>
    <mergeCell ref="I13:K13"/>
    <mergeCell ref="M13:O13"/>
    <mergeCell ref="C14:F15"/>
    <mergeCell ref="I14:I15"/>
    <mergeCell ref="J14:J15"/>
    <mergeCell ref="N14:N15"/>
    <mergeCell ref="C18:F18"/>
    <mergeCell ref="B19:B20"/>
    <mergeCell ref="C19:F19"/>
    <mergeCell ref="C20:F20"/>
    <mergeCell ref="C21:F21"/>
    <mergeCell ref="C26:D26"/>
    <mergeCell ref="C27:D27"/>
    <mergeCell ref="C28:D28"/>
    <mergeCell ref="C29:D29"/>
    <mergeCell ref="C22:F22"/>
    <mergeCell ref="C23:F23"/>
    <mergeCell ref="C24:F24"/>
    <mergeCell ref="A1:O1"/>
    <mergeCell ref="C41:F41"/>
    <mergeCell ref="C38:F38"/>
    <mergeCell ref="C39:F39"/>
    <mergeCell ref="C40:F40"/>
    <mergeCell ref="C34:F34"/>
    <mergeCell ref="C35:F35"/>
    <mergeCell ref="C36:F36"/>
    <mergeCell ref="C37:F37"/>
    <mergeCell ref="C30:F30"/>
    <mergeCell ref="C31:F31"/>
    <mergeCell ref="C32:E32"/>
    <mergeCell ref="F32:F33"/>
    <mergeCell ref="C33:E33"/>
    <mergeCell ref="C25:D25"/>
    <mergeCell ref="E25:F29"/>
  </mergeCells>
  <conditionalFormatting sqref="M16:O41">
    <cfRule type="cellIs" dxfId="101" priority="8" stopIfTrue="1" operator="equal">
      <formula>0</formula>
    </cfRule>
  </conditionalFormatting>
  <conditionalFormatting sqref="I16:I18">
    <cfRule type="cellIs" dxfId="100" priority="6" stopIfTrue="1" operator="equal">
      <formula>0</formula>
    </cfRule>
  </conditionalFormatting>
  <conditionalFormatting sqref="E25">
    <cfRule type="cellIs" dxfId="99" priority="5" operator="notEqual">
      <formula>"GC 76000 PA ($7 for every 10) breakdown per local board of supervisor resolution (BOS)."</formula>
    </cfRule>
  </conditionalFormatting>
  <conditionalFormatting sqref="J36:K41 J31:K31 I18:K30 I32:K35">
    <cfRule type="cellIs" dxfId="98" priority="3" operator="equal">
      <formula>0</formula>
    </cfRule>
  </conditionalFormatting>
  <conditionalFormatting sqref="E25">
    <cfRule type="cellIs" dxfId="97" priority="1" operator="notEqual">
      <formula>"GC 76000 PA ($" &amp;O11 &amp;" for every 10) breakdown per local board of supervisor resolution (BOS)."</formula>
    </cfRule>
  </conditionalFormatting>
  <pageMargins left="0.7" right="0.7" top="0.75" bottom="0.75" header="0.3" footer="0.3"/>
  <pageSetup scale="50" orientation="landscape" r:id="rId1"/>
  <ignoredErrors>
    <ignoredError sqref="M31 J31 O35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4482" r:id="rId4" name="Button 2">
              <controlPr defaultSize="0" print="0" autoFill="0" autoPict="0" macro="[7]!mcrDisableTwoPercentUnprotect">
                <anchor moveWithCells="1">
                  <from>
                    <xdr:col>0</xdr:col>
                    <xdr:colOff>9525</xdr:colOff>
                    <xdr:row>13</xdr:row>
                    <xdr:rowOff>523875</xdr:rowOff>
                  </from>
                  <to>
                    <xdr:col>0</xdr:col>
                    <xdr:colOff>266700</xdr:colOff>
                    <xdr:row>18</xdr:row>
                    <xdr:rowOff>0</xdr:rowOff>
                  </to>
                </anchor>
              </controlPr>
            </control>
          </mc:Choice>
        </mc:AlternateContent>
        <mc:AlternateContent xmlns:mc="http://schemas.openxmlformats.org/markup-compatibility/2006">
          <mc:Choice Requires="x14">
            <control shapeId="404483" r:id="rId5" name="Button 3">
              <controlPr defaultSize="0" print="0" autoFill="0" autoPict="0" macro="[7]!mcrEnableTwoPercentUnprotect">
                <anchor moveWithCells="1">
                  <from>
                    <xdr:col>0</xdr:col>
                    <xdr:colOff>0</xdr:colOff>
                    <xdr:row>13</xdr:row>
                    <xdr:rowOff>219075</xdr:rowOff>
                  </from>
                  <to>
                    <xdr:col>0</xdr:col>
                    <xdr:colOff>266700</xdr:colOff>
                    <xdr:row>18</xdr:row>
                    <xdr:rowOff>28575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43"/>
  <sheetViews>
    <sheetView showGridLines="0" topLeftCell="A4" zoomScale="90" zoomScaleNormal="90" workbookViewId="0">
      <selection activeCell="N46" sqref="N46"/>
    </sheetView>
  </sheetViews>
  <sheetFormatPr defaultRowHeight="18.75" x14ac:dyDescent="0.2"/>
  <cols>
    <col min="1" max="1" width="4.140625" customWidth="1"/>
    <col min="2" max="2" width="4.28515625" style="98" customWidth="1"/>
    <col min="3" max="3" width="8.28515625" style="98" customWidth="1"/>
    <col min="4" max="4" width="13.5703125" style="98" customWidth="1"/>
    <col min="5" max="5" width="13.140625" style="98" customWidth="1"/>
    <col min="6" max="6" width="10" style="99" customWidth="1"/>
    <col min="7" max="7" width="16" style="133" customWidth="1"/>
    <col min="8" max="8" width="13" style="50" customWidth="1"/>
    <col min="9" max="9" width="29.42578125" style="50" hidden="1" customWidth="1"/>
    <col min="10" max="10" width="12.28515625" style="50" customWidth="1"/>
    <col min="11" max="11" width="10.7109375" style="50" customWidth="1"/>
    <col min="12" max="12" width="16" style="103" customWidth="1"/>
    <col min="13" max="13" width="1.7109375" style="100" customWidth="1"/>
    <col min="14" max="14" width="15" style="50" customWidth="1"/>
    <col min="15" max="15" width="12.42578125" style="50" customWidth="1"/>
    <col min="16" max="16" width="13" style="50" customWidth="1"/>
    <col min="17" max="17" width="6.28515625" style="101" customWidth="1"/>
    <col min="18" max="18" width="17.140625" style="102" customWidth="1"/>
    <col min="19" max="19" width="2.140625" style="54" customWidth="1"/>
    <col min="20" max="20" width="11.28515625" style="54" customWidth="1"/>
    <col min="21" max="21" width="11.140625" style="54" customWidth="1"/>
    <col min="22" max="22" width="11.28515625" style="54" bestFit="1" customWidth="1"/>
    <col min="23" max="23" width="9.140625" style="54"/>
    <col min="24" max="25" width="9.140625" style="50"/>
  </cols>
  <sheetData>
    <row r="1" spans="2:25" ht="21.75" thickBot="1" x14ac:dyDescent="0.25">
      <c r="B1" s="1932" t="s">
        <v>579</v>
      </c>
      <c r="C1" s="1546"/>
      <c r="D1" s="1546"/>
      <c r="E1" s="1546"/>
      <c r="F1" s="1546"/>
      <c r="G1" s="1546"/>
      <c r="H1" s="1546"/>
      <c r="I1" s="1546"/>
      <c r="J1" s="1546"/>
      <c r="K1" s="1546"/>
      <c r="L1" s="1546"/>
      <c r="M1" s="1546"/>
      <c r="N1" s="1546"/>
      <c r="O1" s="1546"/>
      <c r="P1" s="1547"/>
      <c r="Q1" s="143"/>
      <c r="R1" s="864"/>
    </row>
    <row r="2" spans="2:25" ht="19.5" thickBot="1" x14ac:dyDescent="0.25">
      <c r="B2" s="815"/>
      <c r="C2" s="51"/>
      <c r="D2" s="51"/>
      <c r="E2" s="51"/>
      <c r="F2" s="51"/>
      <c r="G2" s="51"/>
      <c r="H2" s="51"/>
      <c r="I2" s="51"/>
      <c r="J2" s="51"/>
      <c r="K2" s="52"/>
      <c r="L2" s="52"/>
      <c r="M2" s="52"/>
      <c r="N2" s="52"/>
      <c r="O2" s="52"/>
      <c r="P2" s="865"/>
      <c r="Q2" s="52"/>
      <c r="R2" s="52"/>
      <c r="X2" s="54"/>
      <c r="Y2" s="54"/>
    </row>
    <row r="3" spans="2:25" ht="19.5" thickBot="1" x14ac:dyDescent="0.25">
      <c r="B3" s="1675" t="s">
        <v>234</v>
      </c>
      <c r="C3" s="1676"/>
      <c r="D3" s="1676"/>
      <c r="E3" s="1676"/>
      <c r="F3" s="1676"/>
      <c r="G3" s="1676"/>
      <c r="H3" s="1676"/>
      <c r="I3" s="1676"/>
      <c r="J3" s="1676"/>
      <c r="K3" s="1676"/>
      <c r="L3" s="1676"/>
      <c r="M3" s="1676"/>
      <c r="N3" s="1676"/>
      <c r="O3" s="1676"/>
      <c r="P3" s="1677"/>
      <c r="Q3"/>
      <c r="R3"/>
      <c r="S3"/>
      <c r="T3"/>
      <c r="U3"/>
      <c r="V3"/>
      <c r="W3"/>
      <c r="X3"/>
      <c r="Y3"/>
    </row>
    <row r="4" spans="2:25" ht="15.75" x14ac:dyDescent="0.2">
      <c r="B4" s="1379" t="s">
        <v>231</v>
      </c>
      <c r="C4" s="1380"/>
      <c r="D4" s="1380"/>
      <c r="E4" s="1335"/>
      <c r="F4" s="1336"/>
      <c r="G4" s="1332" t="s">
        <v>28</v>
      </c>
      <c r="H4" s="1334"/>
      <c r="I4" s="187"/>
      <c r="J4" s="1939" t="s">
        <v>574</v>
      </c>
      <c r="K4" s="1939"/>
      <c r="L4" s="1939"/>
      <c r="M4" s="1940"/>
      <c r="N4" s="1383" t="s">
        <v>257</v>
      </c>
      <c r="O4" s="1383"/>
      <c r="P4" s="209">
        <v>70</v>
      </c>
      <c r="Q4"/>
      <c r="R4"/>
      <c r="S4"/>
      <c r="T4"/>
      <c r="U4"/>
      <c r="V4"/>
      <c r="W4"/>
      <c r="X4"/>
      <c r="Y4"/>
    </row>
    <row r="5" spans="2:25" ht="15.75" x14ac:dyDescent="0.2">
      <c r="B5" s="1384" t="s">
        <v>4</v>
      </c>
      <c r="C5" s="1385"/>
      <c r="D5" s="1385"/>
      <c r="E5" s="1289">
        <v>43110</v>
      </c>
      <c r="F5" s="1283"/>
      <c r="G5" s="1291" t="s">
        <v>244</v>
      </c>
      <c r="H5" s="1278"/>
      <c r="I5" s="185"/>
      <c r="J5" s="1935" t="s">
        <v>575</v>
      </c>
      <c r="K5" s="1935"/>
      <c r="L5" s="1935"/>
      <c r="M5" s="1936"/>
      <c r="N5" s="1388" t="s">
        <v>22</v>
      </c>
      <c r="O5" s="1388"/>
      <c r="P5" s="58"/>
      <c r="Q5"/>
      <c r="R5"/>
      <c r="S5"/>
      <c r="T5"/>
      <c r="U5"/>
      <c r="V5"/>
      <c r="W5"/>
      <c r="X5"/>
      <c r="Y5"/>
    </row>
    <row r="6" spans="2:25" ht="16.5" thickBot="1" x14ac:dyDescent="0.25">
      <c r="B6" s="1384" t="s">
        <v>12</v>
      </c>
      <c r="C6" s="1385"/>
      <c r="D6" s="1385"/>
      <c r="E6" s="1289">
        <v>43141</v>
      </c>
      <c r="F6" s="1290"/>
      <c r="G6" s="1291" t="s">
        <v>20</v>
      </c>
      <c r="H6" s="1278"/>
      <c r="I6" s="185"/>
      <c r="J6" s="1935" t="s">
        <v>317</v>
      </c>
      <c r="K6" s="1935"/>
      <c r="L6" s="1935"/>
      <c r="M6" s="1936"/>
      <c r="N6" s="1389" t="s">
        <v>233</v>
      </c>
      <c r="O6" s="1389"/>
      <c r="P6" s="212">
        <f>P4+P5*10</f>
        <v>70</v>
      </c>
      <c r="Q6"/>
      <c r="R6"/>
      <c r="S6"/>
      <c r="T6"/>
      <c r="U6"/>
      <c r="V6"/>
      <c r="W6"/>
      <c r="X6"/>
      <c r="Y6"/>
    </row>
    <row r="7" spans="2:25" ht="16.5" thickBot="1" x14ac:dyDescent="0.25">
      <c r="B7" s="1384" t="s">
        <v>5</v>
      </c>
      <c r="C7" s="1385"/>
      <c r="D7" s="1385"/>
      <c r="E7" s="1282" t="s">
        <v>576</v>
      </c>
      <c r="F7" s="1283"/>
      <c r="G7" s="1284" t="s">
        <v>21</v>
      </c>
      <c r="H7" s="1285"/>
      <c r="I7" s="186"/>
      <c r="J7" s="1933" t="s">
        <v>3</v>
      </c>
      <c r="K7" s="1933"/>
      <c r="L7" s="1933"/>
      <c r="M7" s="1948"/>
      <c r="N7" s="235"/>
      <c r="O7" s="242"/>
      <c r="P7" s="874"/>
      <c r="Q7"/>
      <c r="R7"/>
      <c r="S7"/>
      <c r="T7"/>
      <c r="U7"/>
      <c r="V7"/>
      <c r="W7"/>
      <c r="X7"/>
      <c r="Y7"/>
    </row>
    <row r="8" spans="2:25" ht="15.75" customHeight="1" x14ac:dyDescent="0.2">
      <c r="B8" s="1394" t="s">
        <v>54</v>
      </c>
      <c r="C8" s="1395"/>
      <c r="D8" s="1395"/>
      <c r="E8" s="1298">
        <v>1</v>
      </c>
      <c r="F8" s="1299"/>
      <c r="G8" s="1332" t="s">
        <v>253</v>
      </c>
      <c r="H8" s="1334"/>
      <c r="I8" s="187"/>
      <c r="J8" s="1939"/>
      <c r="K8" s="1939"/>
      <c r="L8" s="1939"/>
      <c r="M8" s="1940"/>
      <c r="N8" s="1333" t="s">
        <v>257</v>
      </c>
      <c r="O8" s="1333"/>
      <c r="P8" s="55">
        <v>0</v>
      </c>
      <c r="Q8"/>
      <c r="R8"/>
      <c r="S8"/>
      <c r="T8"/>
      <c r="U8"/>
      <c r="V8"/>
      <c r="W8"/>
      <c r="X8"/>
      <c r="Y8"/>
    </row>
    <row r="9" spans="2:25" ht="15.75" x14ac:dyDescent="0.2">
      <c r="B9" s="1402" t="s">
        <v>53</v>
      </c>
      <c r="C9" s="1403"/>
      <c r="D9" s="1403"/>
      <c r="E9" s="1404">
        <f>100%-E8</f>
        <v>0</v>
      </c>
      <c r="F9" s="1405"/>
      <c r="G9" s="1291" t="s">
        <v>244</v>
      </c>
      <c r="H9" s="1278"/>
      <c r="I9" s="185"/>
      <c r="J9" s="1935"/>
      <c r="K9" s="1935"/>
      <c r="L9" s="1935"/>
      <c r="M9" s="1936"/>
      <c r="N9" s="1388" t="s">
        <v>22</v>
      </c>
      <c r="O9" s="1388"/>
      <c r="P9" s="58"/>
      <c r="Q9"/>
      <c r="R9"/>
      <c r="S9"/>
      <c r="T9"/>
      <c r="U9"/>
      <c r="V9"/>
      <c r="W9"/>
      <c r="X9"/>
      <c r="Y9"/>
    </row>
    <row r="10" spans="2:25" ht="32.25" customHeight="1" thickBot="1" x14ac:dyDescent="0.25">
      <c r="B10" s="1436" t="s">
        <v>276</v>
      </c>
      <c r="C10" s="1437"/>
      <c r="D10" s="1437"/>
      <c r="E10" s="1910">
        <f>P6+P10</f>
        <v>70</v>
      </c>
      <c r="F10" s="1934"/>
      <c r="G10" s="1291" t="s">
        <v>20</v>
      </c>
      <c r="H10" s="1278"/>
      <c r="I10" s="185"/>
      <c r="J10" s="1935"/>
      <c r="K10" s="1935"/>
      <c r="L10" s="1935"/>
      <c r="M10" s="1936"/>
      <c r="N10" s="1389" t="s">
        <v>233</v>
      </c>
      <c r="O10" s="1389"/>
      <c r="P10" s="212">
        <f>P8+P9*10</f>
        <v>0</v>
      </c>
      <c r="Q10"/>
      <c r="R10"/>
      <c r="S10"/>
      <c r="T10"/>
      <c r="U10"/>
      <c r="V10"/>
      <c r="W10"/>
      <c r="X10"/>
      <c r="Y10"/>
    </row>
    <row r="11" spans="2:25" ht="19.5" thickBot="1" x14ac:dyDescent="0.25">
      <c r="B11" s="1439" t="s">
        <v>277</v>
      </c>
      <c r="C11" s="1440"/>
      <c r="D11" s="1440"/>
      <c r="E11" s="1649">
        <f>ROUNDUP(E10/10,0)</f>
        <v>7</v>
      </c>
      <c r="F11" s="1650"/>
      <c r="G11" s="1284" t="s">
        <v>21</v>
      </c>
      <c r="H11" s="1285"/>
      <c r="I11" s="186"/>
      <c r="J11" s="1933"/>
      <c r="K11" s="1933"/>
      <c r="L11" s="1933"/>
      <c r="M11" s="1948"/>
      <c r="N11" s="1400" t="s">
        <v>568</v>
      </c>
      <c r="O11" s="1401"/>
      <c r="P11" s="840">
        <f>'Local Penalties'!B8</f>
        <v>5</v>
      </c>
      <c r="Q11"/>
      <c r="R11"/>
      <c r="S11"/>
      <c r="T11"/>
      <c r="U11"/>
      <c r="V11"/>
      <c r="W11"/>
      <c r="X11"/>
      <c r="Y11"/>
    </row>
    <row r="12" spans="2:25" ht="19.5" thickBot="1" x14ac:dyDescent="0.25">
      <c r="B12" s="866"/>
      <c r="C12" s="867"/>
      <c r="D12" s="817"/>
      <c r="E12" s="817"/>
      <c r="F12" s="817"/>
      <c r="G12" s="66"/>
      <c r="H12" s="59"/>
      <c r="I12" s="60"/>
      <c r="J12" s="61"/>
      <c r="K12" s="61"/>
      <c r="L12" s="61"/>
      <c r="M12" s="61"/>
      <c r="N12" s="813"/>
      <c r="O12" s="813"/>
      <c r="P12" s="818"/>
      <c r="Q12" s="63"/>
      <c r="R12" s="64"/>
      <c r="S12" s="57"/>
      <c r="T12" s="57"/>
      <c r="U12" s="57"/>
      <c r="V12" s="65"/>
      <c r="W12" s="57"/>
      <c r="X12" s="57"/>
      <c r="Y12" s="57"/>
    </row>
    <row r="13" spans="2:25" ht="19.5" thickBot="1" x14ac:dyDescent="0.25">
      <c r="B13" s="819"/>
      <c r="C13" s="192"/>
      <c r="D13" s="192"/>
      <c r="E13" s="192"/>
      <c r="F13" s="192"/>
      <c r="G13" s="107"/>
      <c r="H13" s="814"/>
      <c r="I13" s="820"/>
      <c r="J13" s="1758" t="s">
        <v>297</v>
      </c>
      <c r="K13" s="1759"/>
      <c r="L13" s="1760"/>
      <c r="M13" s="110"/>
      <c r="N13" s="1764" t="s">
        <v>578</v>
      </c>
      <c r="O13" s="1765"/>
      <c r="P13" s="1766"/>
      <c r="Q13"/>
      <c r="R13"/>
      <c r="S13"/>
      <c r="T13"/>
      <c r="U13"/>
      <c r="V13"/>
      <c r="W13"/>
      <c r="X13"/>
      <c r="Y13"/>
    </row>
    <row r="14" spans="2:25" ht="26.25" thickBot="1" x14ac:dyDescent="0.25">
      <c r="B14" s="858">
        <v>0.02</v>
      </c>
      <c r="C14" s="1231" t="s">
        <v>58</v>
      </c>
      <c r="D14" s="1561" t="s">
        <v>226</v>
      </c>
      <c r="E14" s="1562"/>
      <c r="F14" s="1562"/>
      <c r="G14" s="1563"/>
      <c r="H14" s="1947" t="s">
        <v>249</v>
      </c>
      <c r="I14" s="1232" t="s">
        <v>0</v>
      </c>
      <c r="J14" s="1944" t="s">
        <v>298</v>
      </c>
      <c r="K14" s="1535" t="s">
        <v>6</v>
      </c>
      <c r="L14" s="1834" t="s">
        <v>299</v>
      </c>
      <c r="M14" s="67"/>
      <c r="N14" s="860" t="s">
        <v>428</v>
      </c>
      <c r="O14" s="1535" t="s">
        <v>6</v>
      </c>
      <c r="P14" s="1834" t="s">
        <v>299</v>
      </c>
      <c r="Q14"/>
      <c r="R14"/>
      <c r="S14"/>
      <c r="T14"/>
      <c r="U14"/>
      <c r="V14"/>
      <c r="W14"/>
      <c r="X14"/>
      <c r="Y14"/>
    </row>
    <row r="15" spans="2:25" ht="13.5" thickBot="1" x14ac:dyDescent="0.25">
      <c r="B15" s="859"/>
      <c r="C15" s="1233"/>
      <c r="D15" s="1564"/>
      <c r="E15" s="1565"/>
      <c r="F15" s="1565"/>
      <c r="G15" s="1566"/>
      <c r="H15" s="1478"/>
      <c r="I15" s="1234"/>
      <c r="J15" s="1945"/>
      <c r="K15" s="1571"/>
      <c r="L15" s="1946"/>
      <c r="M15" s="68"/>
      <c r="N15" s="419">
        <f>(N43)/(J43)</f>
        <v>0</v>
      </c>
      <c r="O15" s="1571"/>
      <c r="P15" s="1946"/>
      <c r="Q15"/>
      <c r="R15"/>
      <c r="S15"/>
      <c r="T15"/>
      <c r="U15"/>
      <c r="V15"/>
      <c r="W15"/>
      <c r="X15"/>
      <c r="Y15"/>
    </row>
    <row r="16" spans="2:25" ht="15.75" hidden="1" customHeight="1" thickTop="1" x14ac:dyDescent="0.2">
      <c r="B16" s="821" t="s">
        <v>8</v>
      </c>
      <c r="C16" s="195"/>
      <c r="D16" s="1692"/>
      <c r="E16" s="1692"/>
      <c r="F16" s="1692"/>
      <c r="G16" s="1692"/>
      <c r="H16" s="70"/>
      <c r="I16" s="71"/>
      <c r="J16" s="154"/>
      <c r="K16" s="162"/>
      <c r="L16" s="198"/>
      <c r="M16" s="164"/>
      <c r="N16" s="160"/>
      <c r="O16" s="162"/>
      <c r="P16" s="868"/>
      <c r="Q16"/>
      <c r="R16"/>
      <c r="S16"/>
      <c r="T16"/>
      <c r="U16"/>
      <c r="V16"/>
      <c r="W16"/>
      <c r="X16"/>
      <c r="Y16"/>
    </row>
    <row r="17" spans="2:25" ht="15.75" hidden="1" customHeight="1" thickBot="1" x14ac:dyDescent="0.25">
      <c r="B17" s="821" t="s">
        <v>8</v>
      </c>
      <c r="C17" s="262"/>
      <c r="D17" s="1665"/>
      <c r="E17" s="1700"/>
      <c r="F17" s="1700"/>
      <c r="G17" s="1701"/>
      <c r="H17" s="76"/>
      <c r="I17" s="77"/>
      <c r="J17" s="156"/>
      <c r="K17" s="162"/>
      <c r="L17" s="167"/>
      <c r="M17" s="164"/>
      <c r="N17" s="160"/>
      <c r="O17" s="162"/>
      <c r="P17" s="822"/>
      <c r="Q17"/>
      <c r="R17"/>
      <c r="S17"/>
      <c r="T17"/>
      <c r="U17"/>
      <c r="V17"/>
      <c r="W17"/>
      <c r="X17"/>
      <c r="Y17"/>
    </row>
    <row r="18" spans="2:25" ht="15.75" hidden="1" customHeight="1" thickTop="1" x14ac:dyDescent="0.2">
      <c r="B18" s="821" t="s">
        <v>8</v>
      </c>
      <c r="C18" s="262"/>
      <c r="D18" s="1692"/>
      <c r="E18" s="1692"/>
      <c r="F18" s="1692"/>
      <c r="G18" s="1692"/>
      <c r="H18" s="281"/>
      <c r="I18" s="77"/>
      <c r="J18" s="156"/>
      <c r="K18" s="162"/>
      <c r="L18" s="167"/>
      <c r="M18" s="164"/>
      <c r="N18" s="160"/>
      <c r="O18" s="162"/>
      <c r="P18" s="822"/>
      <c r="Q18"/>
      <c r="R18"/>
      <c r="S18"/>
      <c r="T18"/>
      <c r="U18"/>
      <c r="V18"/>
      <c r="W18"/>
      <c r="X18"/>
      <c r="Y18"/>
    </row>
    <row r="19" spans="2:25" ht="15" x14ac:dyDescent="0.2">
      <c r="B19" s="821" t="s">
        <v>8</v>
      </c>
      <c r="C19" s="1801" t="s">
        <v>241</v>
      </c>
      <c r="D19" s="1659" t="s">
        <v>212</v>
      </c>
      <c r="E19" s="1659"/>
      <c r="F19" s="1659"/>
      <c r="G19" s="1659"/>
      <c r="H19" s="856" t="s">
        <v>32</v>
      </c>
      <c r="I19" s="77" t="s">
        <v>27</v>
      </c>
      <c r="J19" s="155">
        <f>(E10-SUM(J16:J18))*E8</f>
        <v>70</v>
      </c>
      <c r="K19" s="155">
        <f>IF(B19="Y",J19* 2%,0)</f>
        <v>1.4000000000000001</v>
      </c>
      <c r="L19" s="1218">
        <f>J19-K19</f>
        <v>68.599999999999994</v>
      </c>
      <c r="M19" s="164"/>
      <c r="N19" s="160">
        <f t="shared" ref="N19:N34" si="0">IF($N$43=0,,J19*$N$15)</f>
        <v>0</v>
      </c>
      <c r="O19" s="155">
        <f t="shared" ref="O19:O34" si="1">IF(B19="Y", N19*2%,)</f>
        <v>0</v>
      </c>
      <c r="P19" s="1225">
        <f t="shared" ref="P19:P40" si="2">N19-O19</f>
        <v>0</v>
      </c>
      <c r="Q19"/>
      <c r="R19"/>
      <c r="S19"/>
      <c r="T19"/>
      <c r="U19"/>
      <c r="V19"/>
      <c r="W19"/>
      <c r="X19"/>
      <c r="Y19"/>
    </row>
    <row r="20" spans="2:25" ht="15" x14ac:dyDescent="0.2">
      <c r="B20" s="821" t="s">
        <v>8</v>
      </c>
      <c r="C20" s="1802"/>
      <c r="D20" s="1659" t="s">
        <v>213</v>
      </c>
      <c r="E20" s="1659"/>
      <c r="F20" s="1659"/>
      <c r="G20" s="1659"/>
      <c r="H20" s="856" t="s">
        <v>52</v>
      </c>
      <c r="I20" s="77" t="s">
        <v>25</v>
      </c>
      <c r="J20" s="155">
        <f>(E10-SUM(J16:J18))*E9</f>
        <v>0</v>
      </c>
      <c r="K20" s="160">
        <f t="shared" ref="K20:K34" si="3">IF(B20="Y",J20* 2%,0)</f>
        <v>0</v>
      </c>
      <c r="L20" s="1218">
        <f t="shared" ref="L20:L33" si="4">J20-K20</f>
        <v>0</v>
      </c>
      <c r="M20" s="164"/>
      <c r="N20" s="160">
        <f t="shared" si="0"/>
        <v>0</v>
      </c>
      <c r="O20" s="155">
        <f t="shared" si="1"/>
        <v>0</v>
      </c>
      <c r="P20" s="1225">
        <f t="shared" si="2"/>
        <v>0</v>
      </c>
      <c r="Q20"/>
      <c r="R20"/>
      <c r="S20"/>
      <c r="T20"/>
      <c r="U20"/>
      <c r="V20"/>
      <c r="W20"/>
      <c r="X20"/>
      <c r="Y20"/>
    </row>
    <row r="21" spans="2:25" ht="15" x14ac:dyDescent="0.2">
      <c r="B21" s="821" t="s">
        <v>8</v>
      </c>
      <c r="C21" s="75">
        <v>7</v>
      </c>
      <c r="D21" s="1659" t="s">
        <v>214</v>
      </c>
      <c r="E21" s="1659"/>
      <c r="F21" s="1659"/>
      <c r="G21" s="1659"/>
      <c r="H21" s="856" t="s">
        <v>31</v>
      </c>
      <c r="I21" s="77" t="s">
        <v>26</v>
      </c>
      <c r="J21" s="155">
        <f>$E$11*C21</f>
        <v>49</v>
      </c>
      <c r="K21" s="160">
        <f t="shared" si="3"/>
        <v>0.98</v>
      </c>
      <c r="L21" s="1218">
        <f t="shared" si="4"/>
        <v>48.02</v>
      </c>
      <c r="M21" s="164"/>
      <c r="N21" s="160">
        <f t="shared" si="0"/>
        <v>0</v>
      </c>
      <c r="O21" s="155">
        <f t="shared" si="1"/>
        <v>0</v>
      </c>
      <c r="P21" s="1225">
        <f t="shared" si="2"/>
        <v>0</v>
      </c>
      <c r="Q21"/>
      <c r="R21"/>
      <c r="S21"/>
      <c r="T21"/>
      <c r="U21"/>
      <c r="V21"/>
      <c r="W21"/>
      <c r="X21"/>
      <c r="Y21"/>
    </row>
    <row r="22" spans="2:25" ht="15" x14ac:dyDescent="0.2">
      <c r="B22" s="821" t="s">
        <v>8</v>
      </c>
      <c r="C22" s="75">
        <v>3</v>
      </c>
      <c r="D22" s="1665" t="s">
        <v>215</v>
      </c>
      <c r="E22" s="1700"/>
      <c r="F22" s="1700"/>
      <c r="G22" s="1701"/>
      <c r="H22" s="856" t="s">
        <v>32</v>
      </c>
      <c r="I22" s="77" t="s">
        <v>27</v>
      </c>
      <c r="J22" s="155">
        <f t="shared" ref="J22:J33" si="5">$E$11*C22</f>
        <v>21</v>
      </c>
      <c r="K22" s="160">
        <f t="shared" si="3"/>
        <v>0.42</v>
      </c>
      <c r="L22" s="1218">
        <f t="shared" si="4"/>
        <v>20.58</v>
      </c>
      <c r="M22" s="164"/>
      <c r="N22" s="160">
        <f t="shared" si="0"/>
        <v>0</v>
      </c>
      <c r="O22" s="155">
        <f t="shared" si="1"/>
        <v>0</v>
      </c>
      <c r="P22" s="1225">
        <f t="shared" si="2"/>
        <v>0</v>
      </c>
      <c r="Q22"/>
      <c r="R22"/>
      <c r="S22"/>
      <c r="T22"/>
      <c r="U22"/>
      <c r="V22"/>
      <c r="W22"/>
      <c r="X22"/>
      <c r="Y22"/>
    </row>
    <row r="23" spans="2:25" ht="17.25" customHeight="1" x14ac:dyDescent="0.2">
      <c r="B23" s="821" t="s">
        <v>8</v>
      </c>
      <c r="C23" s="75">
        <v>1</v>
      </c>
      <c r="D23" s="1665" t="s">
        <v>216</v>
      </c>
      <c r="E23" s="1700"/>
      <c r="F23" s="1700"/>
      <c r="G23" s="1701"/>
      <c r="H23" s="856" t="s">
        <v>32</v>
      </c>
      <c r="I23" s="77" t="s">
        <v>55</v>
      </c>
      <c r="J23" s="155">
        <f t="shared" si="5"/>
        <v>7</v>
      </c>
      <c r="K23" s="160">
        <f t="shared" si="3"/>
        <v>0.14000000000000001</v>
      </c>
      <c r="L23" s="1218">
        <f t="shared" si="4"/>
        <v>6.86</v>
      </c>
      <c r="M23" s="164"/>
      <c r="N23" s="160">
        <f t="shared" si="0"/>
        <v>0</v>
      </c>
      <c r="O23" s="155">
        <f t="shared" si="1"/>
        <v>0</v>
      </c>
      <c r="P23" s="1225">
        <f t="shared" si="2"/>
        <v>0</v>
      </c>
      <c r="Q23"/>
      <c r="R23"/>
      <c r="S23"/>
      <c r="T23"/>
      <c r="U23"/>
      <c r="V23"/>
      <c r="W23"/>
      <c r="X23"/>
      <c r="Y23"/>
    </row>
    <row r="24" spans="2:25" ht="15" x14ac:dyDescent="0.2">
      <c r="B24" s="821" t="s">
        <v>8</v>
      </c>
      <c r="C24" s="75">
        <v>4</v>
      </c>
      <c r="D24" s="1665" t="s">
        <v>466</v>
      </c>
      <c r="E24" s="1700"/>
      <c r="F24" s="1700"/>
      <c r="G24" s="1701"/>
      <c r="H24" s="856" t="s">
        <v>31</v>
      </c>
      <c r="I24" s="77" t="s">
        <v>72</v>
      </c>
      <c r="J24" s="155">
        <f t="shared" si="5"/>
        <v>28</v>
      </c>
      <c r="K24" s="160">
        <f t="shared" si="3"/>
        <v>0.56000000000000005</v>
      </c>
      <c r="L24" s="1218">
        <f t="shared" si="4"/>
        <v>27.44</v>
      </c>
      <c r="M24" s="164"/>
      <c r="N24" s="160">
        <f t="shared" si="0"/>
        <v>0</v>
      </c>
      <c r="O24" s="155">
        <f t="shared" si="1"/>
        <v>0</v>
      </c>
      <c r="P24" s="1225">
        <f t="shared" si="2"/>
        <v>0</v>
      </c>
      <c r="Q24"/>
      <c r="R24"/>
      <c r="S24"/>
      <c r="T24"/>
      <c r="U24"/>
      <c r="V24"/>
      <c r="W24"/>
      <c r="X24"/>
      <c r="Y24"/>
    </row>
    <row r="25" spans="2:25" ht="20.25" customHeight="1" x14ac:dyDescent="0.2">
      <c r="B25" s="821" t="s">
        <v>8</v>
      </c>
      <c r="C25" s="782">
        <v>2</v>
      </c>
      <c r="D25" s="1659" t="s">
        <v>217</v>
      </c>
      <c r="E25" s="1659"/>
      <c r="F25" s="1739" t="str">
        <f>IF(SUM(C25:C29)=P11,"GC 76000 PA ($" &amp;P11 &amp; " for every 10) breakdown per local board of supervisor resolution (BOS).","ERROR! GC 76000 PA total is not $" &amp;P11&amp; ". Check Court's board resolution.")</f>
        <v>ERROR! GC 76000 PA total is not $5. Check Court's board resolution.</v>
      </c>
      <c r="G25" s="1740"/>
      <c r="H25" s="856" t="s">
        <v>32</v>
      </c>
      <c r="I25" s="77" t="s">
        <v>64</v>
      </c>
      <c r="J25" s="155">
        <f t="shared" si="5"/>
        <v>14</v>
      </c>
      <c r="K25" s="160">
        <f t="shared" si="3"/>
        <v>0.28000000000000003</v>
      </c>
      <c r="L25" s="1218">
        <f t="shared" si="4"/>
        <v>13.72</v>
      </c>
      <c r="M25" s="164"/>
      <c r="N25" s="160">
        <f t="shared" si="0"/>
        <v>0</v>
      </c>
      <c r="O25" s="155">
        <f t="shared" si="1"/>
        <v>0</v>
      </c>
      <c r="P25" s="1225">
        <f t="shared" si="2"/>
        <v>0</v>
      </c>
      <c r="Q25"/>
      <c r="R25"/>
      <c r="S25"/>
      <c r="T25"/>
      <c r="U25"/>
      <c r="V25"/>
      <c r="W25"/>
      <c r="X25"/>
      <c r="Y25"/>
    </row>
    <row r="26" spans="2:25" ht="15.75" customHeight="1" x14ac:dyDescent="0.2">
      <c r="B26" s="821" t="s">
        <v>8</v>
      </c>
      <c r="C26" s="782">
        <v>2</v>
      </c>
      <c r="D26" s="1659" t="s">
        <v>218</v>
      </c>
      <c r="E26" s="1659"/>
      <c r="F26" s="1741"/>
      <c r="G26" s="1742"/>
      <c r="H26" s="856" t="s">
        <v>32</v>
      </c>
      <c r="I26" s="77" t="s">
        <v>35</v>
      </c>
      <c r="J26" s="155">
        <f t="shared" si="5"/>
        <v>14</v>
      </c>
      <c r="K26" s="160">
        <f t="shared" si="3"/>
        <v>0.28000000000000003</v>
      </c>
      <c r="L26" s="1218">
        <f t="shared" si="4"/>
        <v>13.72</v>
      </c>
      <c r="M26" s="164"/>
      <c r="N26" s="160">
        <f t="shared" si="0"/>
        <v>0</v>
      </c>
      <c r="O26" s="155">
        <f t="shared" si="1"/>
        <v>0</v>
      </c>
      <c r="P26" s="1225">
        <f t="shared" si="2"/>
        <v>0</v>
      </c>
      <c r="Q26"/>
      <c r="R26"/>
      <c r="S26"/>
      <c r="T26"/>
      <c r="U26"/>
      <c r="V26"/>
      <c r="W26"/>
      <c r="X26"/>
      <c r="Y26"/>
    </row>
    <row r="27" spans="2:25" ht="18.75" customHeight="1" x14ac:dyDescent="0.2">
      <c r="B27" s="821" t="s">
        <v>8</v>
      </c>
      <c r="C27" s="782">
        <v>2</v>
      </c>
      <c r="D27" s="1659" t="s">
        <v>219</v>
      </c>
      <c r="E27" s="1659"/>
      <c r="F27" s="1741"/>
      <c r="G27" s="1742"/>
      <c r="H27" s="856" t="s">
        <v>32</v>
      </c>
      <c r="I27" s="77" t="s">
        <v>65</v>
      </c>
      <c r="J27" s="155">
        <f t="shared" si="5"/>
        <v>14</v>
      </c>
      <c r="K27" s="160">
        <f t="shared" si="3"/>
        <v>0.28000000000000003</v>
      </c>
      <c r="L27" s="1218">
        <f t="shared" si="4"/>
        <v>13.72</v>
      </c>
      <c r="M27" s="164"/>
      <c r="N27" s="160">
        <f t="shared" si="0"/>
        <v>0</v>
      </c>
      <c r="O27" s="155">
        <f t="shared" si="1"/>
        <v>0</v>
      </c>
      <c r="P27" s="1225">
        <f t="shared" si="2"/>
        <v>0</v>
      </c>
      <c r="Q27"/>
      <c r="R27"/>
      <c r="S27"/>
      <c r="T27"/>
      <c r="U27"/>
      <c r="V27"/>
      <c r="W27"/>
      <c r="X27"/>
      <c r="Y27"/>
    </row>
    <row r="28" spans="2:25" ht="17.25" customHeight="1" x14ac:dyDescent="0.2">
      <c r="B28" s="821" t="s">
        <v>8</v>
      </c>
      <c r="C28" s="782">
        <v>0</v>
      </c>
      <c r="D28" s="1659" t="s">
        <v>401</v>
      </c>
      <c r="E28" s="1659"/>
      <c r="F28" s="1741"/>
      <c r="G28" s="1742"/>
      <c r="H28" s="856" t="s">
        <v>32</v>
      </c>
      <c r="I28" s="77" t="s">
        <v>65</v>
      </c>
      <c r="J28" s="155">
        <f>$E$11*C28</f>
        <v>0</v>
      </c>
      <c r="K28" s="160">
        <f>IF(B28="Y",J28* 2%,0)</f>
        <v>0</v>
      </c>
      <c r="L28" s="1218">
        <f>J28-K28</f>
        <v>0</v>
      </c>
      <c r="M28" s="164"/>
      <c r="N28" s="160">
        <f t="shared" si="0"/>
        <v>0</v>
      </c>
      <c r="O28" s="155">
        <f t="shared" si="1"/>
        <v>0</v>
      </c>
      <c r="P28" s="1225">
        <f>N28-O28</f>
        <v>0</v>
      </c>
      <c r="Q28"/>
      <c r="R28"/>
      <c r="S28"/>
      <c r="T28"/>
      <c r="U28"/>
      <c r="V28"/>
      <c r="W28"/>
      <c r="X28"/>
      <c r="Y28"/>
    </row>
    <row r="29" spans="2:25" ht="15" x14ac:dyDescent="0.2">
      <c r="B29" s="821" t="s">
        <v>8</v>
      </c>
      <c r="C29" s="782">
        <v>1</v>
      </c>
      <c r="D29" s="1659" t="s">
        <v>254</v>
      </c>
      <c r="E29" s="1659"/>
      <c r="F29" s="1743"/>
      <c r="G29" s="1744"/>
      <c r="H29" s="856" t="s">
        <v>32</v>
      </c>
      <c r="I29" s="77"/>
      <c r="J29" s="155">
        <f t="shared" si="5"/>
        <v>7</v>
      </c>
      <c r="K29" s="160">
        <f t="shared" si="3"/>
        <v>0.14000000000000001</v>
      </c>
      <c r="L29" s="1218">
        <f t="shared" si="4"/>
        <v>6.86</v>
      </c>
      <c r="M29" s="164"/>
      <c r="N29" s="160">
        <f t="shared" si="0"/>
        <v>0</v>
      </c>
      <c r="O29" s="155">
        <f t="shared" si="1"/>
        <v>0</v>
      </c>
      <c r="P29" s="1225">
        <f t="shared" si="2"/>
        <v>0</v>
      </c>
      <c r="Q29"/>
      <c r="R29"/>
      <c r="S29"/>
      <c r="T29"/>
      <c r="U29"/>
      <c r="V29"/>
      <c r="W29"/>
      <c r="X29"/>
      <c r="Y29"/>
    </row>
    <row r="30" spans="2:25" ht="15" x14ac:dyDescent="0.2">
      <c r="B30" s="821" t="s">
        <v>8</v>
      </c>
      <c r="C30" s="782">
        <v>2</v>
      </c>
      <c r="D30" s="1449" t="s">
        <v>286</v>
      </c>
      <c r="E30" s="1459"/>
      <c r="F30" s="1459"/>
      <c r="G30" s="1460"/>
      <c r="H30" s="861" t="s">
        <v>32</v>
      </c>
      <c r="I30" s="84" t="s">
        <v>36</v>
      </c>
      <c r="J30" s="155">
        <f t="shared" si="5"/>
        <v>14</v>
      </c>
      <c r="K30" s="160">
        <f t="shared" si="3"/>
        <v>0.28000000000000003</v>
      </c>
      <c r="L30" s="1218">
        <f t="shared" si="4"/>
        <v>13.72</v>
      </c>
      <c r="M30" s="164"/>
      <c r="N30" s="160">
        <f t="shared" si="0"/>
        <v>0</v>
      </c>
      <c r="O30" s="155">
        <f t="shared" si="1"/>
        <v>0</v>
      </c>
      <c r="P30" s="1225">
        <f t="shared" si="2"/>
        <v>0</v>
      </c>
      <c r="Q30"/>
      <c r="R30"/>
      <c r="S30"/>
      <c r="T30"/>
      <c r="U30"/>
      <c r="V30"/>
      <c r="W30"/>
      <c r="X30"/>
      <c r="Y30"/>
    </row>
    <row r="31" spans="2:25" ht="15" x14ac:dyDescent="0.2">
      <c r="B31" s="821" t="s">
        <v>8</v>
      </c>
      <c r="C31" s="75"/>
      <c r="D31" s="1449" t="s">
        <v>385</v>
      </c>
      <c r="E31" s="1459"/>
      <c r="F31" s="1459"/>
      <c r="G31" s="1460"/>
      <c r="H31" s="861" t="s">
        <v>31</v>
      </c>
      <c r="I31" s="91" t="s">
        <v>39</v>
      </c>
      <c r="J31" s="204">
        <v>4</v>
      </c>
      <c r="K31" s="160">
        <f>IF(B31="Y", J31*2%,0)</f>
        <v>0.08</v>
      </c>
      <c r="L31" s="1218">
        <f>J31-K31</f>
        <v>3.92</v>
      </c>
      <c r="M31" s="164"/>
      <c r="N31" s="155">
        <f t="shared" si="0"/>
        <v>0</v>
      </c>
      <c r="O31" s="155">
        <f t="shared" si="1"/>
        <v>0</v>
      </c>
      <c r="P31" s="1225">
        <f>N31-O31</f>
        <v>0</v>
      </c>
      <c r="Q31"/>
      <c r="R31"/>
      <c r="S31"/>
      <c r="T31"/>
      <c r="U31"/>
      <c r="V31"/>
      <c r="W31"/>
      <c r="X31"/>
      <c r="Y31"/>
    </row>
    <row r="32" spans="2:25" ht="30" x14ac:dyDescent="0.2">
      <c r="B32" s="821" t="s">
        <v>8</v>
      </c>
      <c r="C32" s="782">
        <v>2</v>
      </c>
      <c r="D32" s="1449" t="s">
        <v>555</v>
      </c>
      <c r="E32" s="1459"/>
      <c r="F32" s="1460"/>
      <c r="G32" s="1591" t="s">
        <v>281</v>
      </c>
      <c r="H32" s="861" t="s">
        <v>31</v>
      </c>
      <c r="I32" s="84" t="s">
        <v>37</v>
      </c>
      <c r="J32" s="155">
        <f t="shared" si="5"/>
        <v>14</v>
      </c>
      <c r="K32" s="160">
        <f t="shared" si="3"/>
        <v>0.28000000000000003</v>
      </c>
      <c r="L32" s="1218">
        <f t="shared" si="4"/>
        <v>13.72</v>
      </c>
      <c r="M32" s="164"/>
      <c r="N32" s="160">
        <f t="shared" si="0"/>
        <v>0</v>
      </c>
      <c r="O32" s="155">
        <f t="shared" si="1"/>
        <v>0</v>
      </c>
      <c r="P32" s="1225">
        <f t="shared" si="2"/>
        <v>0</v>
      </c>
      <c r="Q32"/>
      <c r="R32"/>
      <c r="S32"/>
      <c r="T32"/>
      <c r="U32"/>
      <c r="V32"/>
      <c r="W32"/>
      <c r="X32"/>
      <c r="Y32"/>
    </row>
    <row r="33" spans="2:25" ht="15" x14ac:dyDescent="0.2">
      <c r="B33" s="821" t="s">
        <v>8</v>
      </c>
      <c r="C33" s="179">
        <f>5-C32</f>
        <v>3</v>
      </c>
      <c r="D33" s="1449" t="s">
        <v>556</v>
      </c>
      <c r="E33" s="1459"/>
      <c r="F33" s="1460"/>
      <c r="G33" s="1592"/>
      <c r="H33" s="861" t="s">
        <v>31</v>
      </c>
      <c r="I33" s="84" t="s">
        <v>197</v>
      </c>
      <c r="J33" s="155">
        <f t="shared" si="5"/>
        <v>21</v>
      </c>
      <c r="K33" s="160">
        <f t="shared" si="3"/>
        <v>0.42</v>
      </c>
      <c r="L33" s="1218">
        <f t="shared" si="4"/>
        <v>20.58</v>
      </c>
      <c r="M33" s="164"/>
      <c r="N33" s="160">
        <f t="shared" si="0"/>
        <v>0</v>
      </c>
      <c r="O33" s="155">
        <f t="shared" si="1"/>
        <v>0</v>
      </c>
      <c r="P33" s="1225">
        <f t="shared" si="2"/>
        <v>0</v>
      </c>
      <c r="Q33"/>
      <c r="R33"/>
      <c r="S33"/>
      <c r="T33"/>
      <c r="U33"/>
      <c r="V33"/>
      <c r="W33"/>
      <c r="X33"/>
      <c r="Y33"/>
    </row>
    <row r="34" spans="2:25" ht="15" x14ac:dyDescent="0.2">
      <c r="B34" s="821" t="s">
        <v>7</v>
      </c>
      <c r="C34" s="75"/>
      <c r="D34" s="1449" t="s">
        <v>220</v>
      </c>
      <c r="E34" s="1459"/>
      <c r="F34" s="1459"/>
      <c r="G34" s="1460"/>
      <c r="H34" s="861" t="s">
        <v>31</v>
      </c>
      <c r="I34" s="84" t="s">
        <v>10</v>
      </c>
      <c r="J34" s="155">
        <f>$E$10*20%</f>
        <v>14</v>
      </c>
      <c r="K34" s="160">
        <f t="shared" si="3"/>
        <v>0</v>
      </c>
      <c r="L34" s="1218">
        <f>J34-K34</f>
        <v>14</v>
      </c>
      <c r="M34" s="164"/>
      <c r="N34" s="160">
        <f t="shared" si="0"/>
        <v>0</v>
      </c>
      <c r="O34" s="155">
        <f t="shared" si="1"/>
        <v>0</v>
      </c>
      <c r="P34" s="1225">
        <f t="shared" si="2"/>
        <v>0</v>
      </c>
      <c r="Q34"/>
      <c r="R34"/>
      <c r="S34"/>
      <c r="T34"/>
      <c r="U34"/>
      <c r="V34"/>
      <c r="W34"/>
      <c r="X34"/>
      <c r="Y34"/>
    </row>
    <row r="35" spans="2:25" ht="15" x14ac:dyDescent="0.2">
      <c r="B35" s="821"/>
      <c r="C35" s="86"/>
      <c r="D35" s="1456" t="s">
        <v>221</v>
      </c>
      <c r="E35" s="1694"/>
      <c r="F35" s="1694"/>
      <c r="G35" s="1695"/>
      <c r="H35" s="703"/>
      <c r="I35" s="88"/>
      <c r="J35" s="157">
        <f>SUM(J16:J34)</f>
        <v>291</v>
      </c>
      <c r="K35" s="160"/>
      <c r="L35" s="1219">
        <f>SUM(L16:L34)</f>
        <v>285.45999999999998</v>
      </c>
      <c r="M35" s="165"/>
      <c r="N35" s="157">
        <f>IF($N$43=0,,N43-SUM(N36:N40))</f>
        <v>0</v>
      </c>
      <c r="O35" s="155"/>
      <c r="P35" s="1226">
        <f>SUM(P16:P34)</f>
        <v>0</v>
      </c>
      <c r="Q35"/>
      <c r="R35"/>
      <c r="S35"/>
      <c r="T35"/>
      <c r="U35"/>
      <c r="V35"/>
      <c r="W35"/>
      <c r="X35"/>
      <c r="Y35"/>
    </row>
    <row r="36" spans="2:25" ht="15" x14ac:dyDescent="0.2">
      <c r="B36" s="821" t="s">
        <v>7</v>
      </c>
      <c r="C36" s="75"/>
      <c r="D36" s="1449" t="s">
        <v>419</v>
      </c>
      <c r="E36" s="1459"/>
      <c r="F36" s="1459"/>
      <c r="G36" s="1460"/>
      <c r="H36" s="861" t="s">
        <v>31</v>
      </c>
      <c r="I36" s="91"/>
      <c r="J36" s="204">
        <v>40</v>
      </c>
      <c r="K36" s="160">
        <f>IF(B36="Y", J36*2%,0)</f>
        <v>0</v>
      </c>
      <c r="L36" s="1218">
        <f>J36-K36</f>
        <v>40</v>
      </c>
      <c r="M36" s="164"/>
      <c r="N36" s="155">
        <f>IF($N$43=0,,J36*$N$15)</f>
        <v>0</v>
      </c>
      <c r="O36" s="155">
        <f>IF(B36="Y", N36*2%,)</f>
        <v>0</v>
      </c>
      <c r="P36" s="1225">
        <f t="shared" ref="P36" si="6">N36-O36</f>
        <v>0</v>
      </c>
      <c r="Q36"/>
      <c r="R36"/>
      <c r="S36"/>
      <c r="T36"/>
      <c r="U36"/>
      <c r="V36"/>
      <c r="W36"/>
      <c r="X36"/>
      <c r="Y36"/>
    </row>
    <row r="37" spans="2:25" ht="15" x14ac:dyDescent="0.2">
      <c r="B37" s="821" t="s">
        <v>7</v>
      </c>
      <c r="C37" s="75"/>
      <c r="D37" s="1446" t="s">
        <v>259</v>
      </c>
      <c r="E37" s="1447"/>
      <c r="F37" s="1447"/>
      <c r="G37" s="1448"/>
      <c r="H37" s="704" t="s">
        <v>31</v>
      </c>
      <c r="I37" s="92" t="s">
        <v>197</v>
      </c>
      <c r="J37" s="204">
        <v>35</v>
      </c>
      <c r="K37" s="160">
        <f t="shared" ref="K37:K40" si="7">IF(B37="Y", J37*2%,0)</f>
        <v>0</v>
      </c>
      <c r="L37" s="1218">
        <f t="shared" ref="L37:L40" si="8">J37-K37</f>
        <v>35</v>
      </c>
      <c r="M37" s="164"/>
      <c r="N37" s="155">
        <f>IF($N$43=0,,J37*$N$15)</f>
        <v>0</v>
      </c>
      <c r="O37" s="155">
        <f>IF(B37="Y", N37*2%,)</f>
        <v>0</v>
      </c>
      <c r="P37" s="1225">
        <f t="shared" si="2"/>
        <v>0</v>
      </c>
      <c r="Q37"/>
      <c r="R37"/>
      <c r="S37"/>
      <c r="T37"/>
      <c r="U37"/>
      <c r="V37"/>
      <c r="W37"/>
      <c r="X37"/>
      <c r="Y37"/>
    </row>
    <row r="38" spans="2:25" ht="15" x14ac:dyDescent="0.2">
      <c r="B38" s="821" t="s">
        <v>7</v>
      </c>
      <c r="C38" s="94"/>
      <c r="D38" s="1446" t="s">
        <v>421</v>
      </c>
      <c r="E38" s="1447"/>
      <c r="F38" s="1447"/>
      <c r="G38" s="1448"/>
      <c r="H38" s="704" t="s">
        <v>230</v>
      </c>
      <c r="I38" s="92" t="s">
        <v>24</v>
      </c>
      <c r="J38" s="204">
        <v>0</v>
      </c>
      <c r="K38" s="160">
        <f t="shared" si="7"/>
        <v>0</v>
      </c>
      <c r="L38" s="1218">
        <f t="shared" si="8"/>
        <v>0</v>
      </c>
      <c r="M38" s="164"/>
      <c r="N38" s="155">
        <f>IF($N$43=0,,J38*$N$15)</f>
        <v>0</v>
      </c>
      <c r="O38" s="155">
        <f>IF(B38="Y", N38*2%,)</f>
        <v>0</v>
      </c>
      <c r="P38" s="1225">
        <f t="shared" si="2"/>
        <v>0</v>
      </c>
      <c r="Q38"/>
      <c r="R38"/>
      <c r="S38"/>
      <c r="T38"/>
      <c r="U38"/>
      <c r="V38"/>
      <c r="W38"/>
      <c r="X38"/>
      <c r="Y38"/>
    </row>
    <row r="39" spans="2:25" ht="15" x14ac:dyDescent="0.2">
      <c r="B39" s="821" t="s">
        <v>7</v>
      </c>
      <c r="C39" s="94"/>
      <c r="D39" s="1449" t="s">
        <v>577</v>
      </c>
      <c r="E39" s="1447"/>
      <c r="F39" s="1447"/>
      <c r="G39" s="1448"/>
      <c r="H39" s="704" t="s">
        <v>230</v>
      </c>
      <c r="I39" s="92" t="s">
        <v>82</v>
      </c>
      <c r="J39" s="204">
        <v>0</v>
      </c>
      <c r="K39" s="160">
        <f t="shared" si="7"/>
        <v>0</v>
      </c>
      <c r="L39" s="1218">
        <f t="shared" si="8"/>
        <v>0</v>
      </c>
      <c r="M39" s="164"/>
      <c r="N39" s="155">
        <f>IF($N$43=0,,J39*$N$15)</f>
        <v>0</v>
      </c>
      <c r="O39" s="155">
        <f>IF(B39="Y", N39*2%,)</f>
        <v>0</v>
      </c>
      <c r="P39" s="1225">
        <f t="shared" si="2"/>
        <v>0</v>
      </c>
      <c r="Q39"/>
      <c r="R39"/>
      <c r="S39"/>
      <c r="T39"/>
      <c r="U39"/>
      <c r="V39"/>
      <c r="W39"/>
      <c r="X39"/>
      <c r="Y39"/>
    </row>
    <row r="40" spans="2:25" ht="15" x14ac:dyDescent="0.2">
      <c r="B40" s="821" t="s">
        <v>7</v>
      </c>
      <c r="C40" s="94"/>
      <c r="D40" s="1446" t="s">
        <v>225</v>
      </c>
      <c r="E40" s="1447"/>
      <c r="F40" s="1447"/>
      <c r="G40" s="1448"/>
      <c r="H40" s="704" t="s">
        <v>31</v>
      </c>
      <c r="I40" s="92" t="s">
        <v>80</v>
      </c>
      <c r="J40" s="204">
        <v>1</v>
      </c>
      <c r="K40" s="160">
        <f t="shared" si="7"/>
        <v>0</v>
      </c>
      <c r="L40" s="1218">
        <f t="shared" si="8"/>
        <v>1</v>
      </c>
      <c r="M40" s="164"/>
      <c r="N40" s="155">
        <f>IF($N$43=0,,J40*$N$15)</f>
        <v>0</v>
      </c>
      <c r="O40" s="155">
        <f>IF(B40="Y", N40*2%,)</f>
        <v>0</v>
      </c>
      <c r="P40" s="1225">
        <f t="shared" si="2"/>
        <v>0</v>
      </c>
      <c r="Q40"/>
      <c r="R40"/>
      <c r="S40"/>
      <c r="T40"/>
      <c r="U40"/>
      <c r="V40"/>
      <c r="W40"/>
      <c r="X40"/>
      <c r="Y40"/>
    </row>
    <row r="41" spans="2:25" ht="15" x14ac:dyDescent="0.2">
      <c r="B41" s="869" t="s">
        <v>7</v>
      </c>
      <c r="C41" s="94"/>
      <c r="D41" s="1665" t="s">
        <v>492</v>
      </c>
      <c r="E41" s="1700"/>
      <c r="F41" s="1700"/>
      <c r="G41" s="1701"/>
      <c r="H41" s="705" t="s">
        <v>31</v>
      </c>
      <c r="I41" s="96" t="s">
        <v>41</v>
      </c>
      <c r="J41" s="97"/>
      <c r="K41" s="104"/>
      <c r="L41" s="1220">
        <f>K42</f>
        <v>5.5400000000000009</v>
      </c>
      <c r="M41" s="164"/>
      <c r="N41" s="104"/>
      <c r="O41" s="104"/>
      <c r="P41" s="1227">
        <f>O42</f>
        <v>0</v>
      </c>
      <c r="Q41"/>
      <c r="R41"/>
      <c r="S41"/>
      <c r="T41"/>
      <c r="U41"/>
      <c r="V41"/>
      <c r="W41"/>
      <c r="X41"/>
      <c r="Y41"/>
    </row>
    <row r="42" spans="2:25" ht="15" x14ac:dyDescent="0.2">
      <c r="B42" s="870"/>
      <c r="C42" s="826"/>
      <c r="D42" s="826"/>
      <c r="E42" s="826"/>
      <c r="F42" s="827"/>
      <c r="G42" s="827"/>
      <c r="H42" s="127"/>
      <c r="I42" s="127"/>
      <c r="J42" s="127"/>
      <c r="K42" s="1223">
        <f>SUM(K16:K41)</f>
        <v>5.5400000000000009</v>
      </c>
      <c r="L42" s="1221"/>
      <c r="M42" s="127"/>
      <c r="N42" s="127"/>
      <c r="O42" s="1229">
        <f>SUM(O16:O41)</f>
        <v>0</v>
      </c>
      <c r="P42" s="1021"/>
      <c r="Q42"/>
      <c r="R42"/>
      <c r="S42"/>
      <c r="T42"/>
      <c r="U42"/>
      <c r="V42"/>
      <c r="W42"/>
      <c r="X42"/>
      <c r="Y42"/>
    </row>
    <row r="43" spans="2:25" ht="16.5" thickBot="1" x14ac:dyDescent="0.25">
      <c r="B43" s="871"/>
      <c r="C43" s="832"/>
      <c r="D43" s="832"/>
      <c r="E43" s="832"/>
      <c r="F43" s="833"/>
      <c r="G43" s="857" t="s">
        <v>81</v>
      </c>
      <c r="H43" s="834"/>
      <c r="I43" s="835" t="s">
        <v>1</v>
      </c>
      <c r="J43" s="836">
        <f>SUM(J35:J42)</f>
        <v>367</v>
      </c>
      <c r="K43" s="1224"/>
      <c r="L43" s="1222">
        <f>SUM(L35:L42)</f>
        <v>367</v>
      </c>
      <c r="M43" s="839"/>
      <c r="N43" s="872">
        <v>0</v>
      </c>
      <c r="O43" s="1230"/>
      <c r="P43" s="1228">
        <f>SUM(P35:P42)</f>
        <v>0</v>
      </c>
      <c r="Q43"/>
      <c r="R43"/>
      <c r="S43"/>
      <c r="T43"/>
      <c r="U43"/>
      <c r="V43"/>
      <c r="W43"/>
      <c r="X43"/>
      <c r="Y43"/>
    </row>
  </sheetData>
  <mergeCells count="79">
    <mergeCell ref="B3:P3"/>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L14:L15"/>
    <mergeCell ref="P14:P15"/>
    <mergeCell ref="H14:H15"/>
    <mergeCell ref="D18:G18"/>
    <mergeCell ref="C19:C20"/>
    <mergeCell ref="D19:G19"/>
    <mergeCell ref="D20:G20"/>
    <mergeCell ref="D21:G21"/>
    <mergeCell ref="D26:E26"/>
    <mergeCell ref="D27:E27"/>
    <mergeCell ref="D28:E28"/>
    <mergeCell ref="D29:E29"/>
    <mergeCell ref="D22:G22"/>
    <mergeCell ref="D23:G23"/>
    <mergeCell ref="D24:G24"/>
    <mergeCell ref="B1:P1"/>
    <mergeCell ref="D41:G41"/>
    <mergeCell ref="D38:G38"/>
    <mergeCell ref="D39:G39"/>
    <mergeCell ref="D40:G40"/>
    <mergeCell ref="D34:G34"/>
    <mergeCell ref="D35:G35"/>
    <mergeCell ref="D36:G36"/>
    <mergeCell ref="D37:G37"/>
    <mergeCell ref="D30:G30"/>
    <mergeCell ref="D31:G31"/>
    <mergeCell ref="D32:F32"/>
    <mergeCell ref="G32:G33"/>
    <mergeCell ref="D33:F33"/>
    <mergeCell ref="D25:E25"/>
    <mergeCell ref="F25:G29"/>
  </mergeCells>
  <conditionalFormatting sqref="N16:P41">
    <cfRule type="cellIs" dxfId="96" priority="11" stopIfTrue="1" operator="equal">
      <formula>0</formula>
    </cfRule>
  </conditionalFormatting>
  <conditionalFormatting sqref="Q12 Q44:Q65526">
    <cfRule type="cellIs" dxfId="95" priority="10" stopIfTrue="1" operator="notEqual">
      <formula>0</formula>
    </cfRule>
  </conditionalFormatting>
  <conditionalFormatting sqref="J16:J18">
    <cfRule type="cellIs" dxfId="94" priority="9" stopIfTrue="1" operator="equal">
      <formula>0</formula>
    </cfRule>
  </conditionalFormatting>
  <conditionalFormatting sqref="F25">
    <cfRule type="cellIs" dxfId="93" priority="8" operator="notEqual">
      <formula>"GC 76000 PA ($7 for every 10) breakdown per local board of supervisor resolution (BOS)."</formula>
    </cfRule>
  </conditionalFormatting>
  <conditionalFormatting sqref="K36:L41 K31:L31 J18:L30 J32:L35">
    <cfRule type="cellIs" dxfId="92" priority="6" operator="equal">
      <formula>0</formula>
    </cfRule>
  </conditionalFormatting>
  <conditionalFormatting sqref="F25">
    <cfRule type="cellIs" dxfId="91" priority="4" operator="notEqual">
      <formula>"GC 76000 PA ($7 for every 10) breakdown per local board of supervisor resolution (BOS)."</formula>
    </cfRule>
  </conditionalFormatting>
  <conditionalFormatting sqref="F25">
    <cfRule type="cellIs" dxfId="90" priority="3" operator="notEqual">
      <formula>"GC 76000 PA ($" &amp;P11 &amp;" for every 10) breakdown per local board of supervisor resolution (BOS)."</formula>
    </cfRule>
  </conditionalFormatting>
  <conditionalFormatting sqref="F25">
    <cfRule type="cellIs" dxfId="89" priority="2" operator="notEqual">
      <formula>"GC 76000 PA ($7 for every 10) breakdown per local board of supervisor resolution (BOS)."</formula>
    </cfRule>
  </conditionalFormatting>
  <conditionalFormatting sqref="F25">
    <cfRule type="cellIs" dxfId="88" priority="1" operator="notEqual">
      <formula>"GC 76000 PA ($" &amp;P11 &amp;" for every 10) breakdown per local board of supervisor resolution (BOS)."</formula>
    </cfRule>
  </conditionalFormatting>
  <pageMargins left="0.7" right="0.7" top="0.75" bottom="0.75" header="0.3" footer="0.3"/>
  <pageSetup scale="70" orientation="landscape" r:id="rId1"/>
  <colBreaks count="1" manualBreakCount="1">
    <brk id="21" max="1048575" man="1"/>
  </colBreaks>
  <ignoredErrors>
    <ignoredError sqref="N35 K31 L35 P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5506" r:id="rId4" name="Button 2">
              <controlPr defaultSize="0" print="0" autoFill="0" autoPict="0" macro="[7]!mcrDisableTwoPercentUnprotect">
                <anchor moveWithCells="1">
                  <from>
                    <xdr:col>1</xdr:col>
                    <xdr:colOff>9525</xdr:colOff>
                    <xdr:row>13</xdr:row>
                    <xdr:rowOff>523875</xdr:rowOff>
                  </from>
                  <to>
                    <xdr:col>1</xdr:col>
                    <xdr:colOff>266700</xdr:colOff>
                    <xdr:row>19</xdr:row>
                    <xdr:rowOff>66675</xdr:rowOff>
                  </to>
                </anchor>
              </controlPr>
            </control>
          </mc:Choice>
        </mc:AlternateContent>
        <mc:AlternateContent xmlns:mc="http://schemas.openxmlformats.org/markup-compatibility/2006">
          <mc:Choice Requires="x14">
            <control shapeId="405507" r:id="rId5" name="Button 3">
              <controlPr defaultSize="0" print="0" autoFill="0" autoPict="0" macro="[7]!mcrEnableTwoPercentUnprotect">
                <anchor moveWithCells="1">
                  <from>
                    <xdr:col>1</xdr:col>
                    <xdr:colOff>0</xdr:colOff>
                    <xdr:row>13</xdr:row>
                    <xdr:rowOff>219075</xdr:rowOff>
                  </from>
                  <to>
                    <xdr:col>1</xdr:col>
                    <xdr:colOff>266700</xdr:colOff>
                    <xdr:row>20</xdr:row>
                    <xdr:rowOff>76200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252" t="s">
        <v>521</v>
      </c>
      <c r="B1" s="1252"/>
      <c r="C1" s="1252"/>
      <c r="D1" s="1252"/>
      <c r="E1" s="1252"/>
      <c r="F1" s="1252"/>
      <c r="G1" s="1252"/>
      <c r="H1" s="1252"/>
      <c r="I1" s="1252"/>
      <c r="J1" s="1252"/>
      <c r="K1" s="1252"/>
      <c r="L1" s="1252"/>
      <c r="M1" s="1252"/>
      <c r="N1" s="1252"/>
      <c r="O1" s="1252"/>
      <c r="P1" s="1252"/>
      <c r="Q1" s="1252"/>
    </row>
    <row r="2" spans="1:17" s="741" customFormat="1" ht="94.5" customHeight="1" x14ac:dyDescent="0.2">
      <c r="A2" s="1253" t="s">
        <v>543</v>
      </c>
      <c r="B2" s="1253"/>
      <c r="C2" s="1253"/>
      <c r="D2" s="1253"/>
      <c r="E2" s="1253"/>
      <c r="F2" s="1253"/>
      <c r="G2" s="1253"/>
      <c r="H2" s="1253"/>
      <c r="I2" s="1253"/>
      <c r="J2" s="1253"/>
      <c r="K2" s="1253"/>
      <c r="L2" s="1253"/>
      <c r="M2" s="1253"/>
      <c r="N2" s="1253"/>
      <c r="O2" s="1253"/>
      <c r="P2" s="1253"/>
      <c r="Q2" s="1253"/>
    </row>
    <row r="3" spans="1:17" s="759" customFormat="1" ht="78.75" customHeight="1" x14ac:dyDescent="0.2">
      <c r="A3" s="1254" t="s">
        <v>557</v>
      </c>
      <c r="B3" s="1255"/>
      <c r="C3" s="1255"/>
      <c r="D3" s="1255"/>
      <c r="E3" s="1255"/>
      <c r="F3" s="1255"/>
      <c r="G3" s="1255"/>
      <c r="H3" s="1255"/>
      <c r="I3" s="1255"/>
      <c r="J3" s="1255"/>
      <c r="K3" s="1255"/>
      <c r="L3" s="1255"/>
      <c r="M3" s="1255"/>
      <c r="N3" s="1255"/>
      <c r="O3" s="1255"/>
      <c r="P3" s="1255"/>
      <c r="Q3" s="1255"/>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256" t="s">
        <v>545</v>
      </c>
      <c r="B5" s="1256"/>
      <c r="C5" s="1256"/>
      <c r="D5" s="1256"/>
      <c r="E5" s="1256"/>
      <c r="F5" s="1256"/>
      <c r="G5" s="1256"/>
      <c r="H5" s="1256"/>
      <c r="I5" s="1256"/>
      <c r="J5" s="1256"/>
      <c r="K5" s="1256"/>
      <c r="L5" s="1256"/>
      <c r="M5" s="1256"/>
      <c r="N5" s="1256"/>
      <c r="O5" s="1256"/>
      <c r="P5" s="1256"/>
      <c r="Q5" s="1256"/>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257" t="s">
        <v>544</v>
      </c>
      <c r="B8" s="1257"/>
      <c r="C8" s="1257"/>
      <c r="D8" s="1257"/>
      <c r="E8" s="1257"/>
      <c r="F8" s="1257"/>
      <c r="G8" s="1257"/>
      <c r="H8" s="1257"/>
      <c r="I8" s="1257"/>
      <c r="J8" s="1257"/>
      <c r="K8" s="1257"/>
      <c r="L8" s="1257"/>
      <c r="M8" s="1257"/>
      <c r="N8" s="1257"/>
      <c r="O8" s="1257"/>
      <c r="P8" s="1257"/>
      <c r="Q8" s="1257"/>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669" t="s">
        <v>288</v>
      </c>
      <c r="B1" s="1670"/>
      <c r="C1" s="1670"/>
      <c r="D1" s="1670"/>
      <c r="E1" s="1670"/>
      <c r="F1" s="1670"/>
      <c r="G1" s="1670"/>
      <c r="H1" s="1670"/>
      <c r="I1" s="1670"/>
      <c r="J1" s="1670"/>
      <c r="K1" s="1670"/>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1845"/>
      <c r="N3" s="1969"/>
      <c r="O3" s="786"/>
      <c r="P3" s="175"/>
      <c r="Q3" s="1678" t="s">
        <v>261</v>
      </c>
      <c r="R3" s="1679"/>
      <c r="S3" s="1679"/>
      <c r="T3" s="1679"/>
      <c r="U3" s="1679"/>
      <c r="V3" s="1679"/>
      <c r="W3" s="1680"/>
      <c r="Y3" s="174" t="s">
        <v>250</v>
      </c>
      <c r="Z3" s="132"/>
    </row>
    <row r="4" spans="1:28" s="57" customFormat="1" ht="15.75" x14ac:dyDescent="0.2">
      <c r="A4" s="1382" t="s">
        <v>231</v>
      </c>
      <c r="B4" s="1382"/>
      <c r="C4" s="1382"/>
      <c r="D4" s="1952">
        <f>L1</f>
        <v>0</v>
      </c>
      <c r="E4" s="1953"/>
      <c r="F4" s="1954" t="s">
        <v>28</v>
      </c>
      <c r="G4" s="1687"/>
      <c r="H4" s="208"/>
      <c r="I4" s="1302"/>
      <c r="J4" s="1303"/>
      <c r="K4" s="1304"/>
      <c r="L4" s="1383" t="s">
        <v>257</v>
      </c>
      <c r="M4" s="1383"/>
      <c r="N4" s="1687"/>
      <c r="O4" s="209"/>
      <c r="P4" s="56"/>
      <c r="Q4" s="1681" t="s">
        <v>236</v>
      </c>
      <c r="R4" s="1682"/>
      <c r="S4" s="1682"/>
      <c r="T4" s="1682"/>
      <c r="U4" s="1682"/>
      <c r="V4" s="1682"/>
      <c r="W4" s="1683"/>
      <c r="Y4" s="268" t="s">
        <v>308</v>
      </c>
      <c r="Z4" s="269" t="s">
        <v>309</v>
      </c>
      <c r="AA4" s="269" t="s">
        <v>310</v>
      </c>
    </row>
    <row r="5" spans="1:28" s="57" customFormat="1" ht="15.75" x14ac:dyDescent="0.2">
      <c r="A5" s="1385" t="s">
        <v>4</v>
      </c>
      <c r="B5" s="1385"/>
      <c r="C5" s="1385"/>
      <c r="D5" s="1289"/>
      <c r="E5" s="1283"/>
      <c r="F5" s="1291" t="s">
        <v>244</v>
      </c>
      <c r="G5" s="1278"/>
      <c r="H5" s="185"/>
      <c r="I5" s="1282"/>
      <c r="J5" s="1292"/>
      <c r="K5" s="1293"/>
      <c r="L5" s="1388" t="s">
        <v>22</v>
      </c>
      <c r="M5" s="1388"/>
      <c r="N5" s="1278"/>
      <c r="O5" s="58"/>
      <c r="P5" s="56"/>
      <c r="Q5" s="1789" t="s">
        <v>302</v>
      </c>
      <c r="R5" s="1790"/>
      <c r="S5" s="1790"/>
      <c r="T5" s="1790"/>
      <c r="U5" s="1790"/>
      <c r="V5" s="1790"/>
      <c r="W5" s="1791"/>
      <c r="Y5" s="172" t="s">
        <v>31</v>
      </c>
      <c r="Z5" s="176">
        <f>SUMIF($G$17:$G$45,"STATE",$M$17:$M$45)</f>
        <v>102.99000000000001</v>
      </c>
      <c r="AA5" s="176">
        <f>SUMIF($G$17:$G$45,"STATE",$S$17:$S$45)</f>
        <v>0</v>
      </c>
    </row>
    <row r="6" spans="1:28" s="57" customFormat="1" ht="16.5" thickBot="1" x14ac:dyDescent="0.25">
      <c r="A6" s="1385" t="s">
        <v>12</v>
      </c>
      <c r="B6" s="1385"/>
      <c r="C6" s="1385"/>
      <c r="D6" s="1289"/>
      <c r="E6" s="1290"/>
      <c r="F6" s="1291" t="s">
        <v>20</v>
      </c>
      <c r="G6" s="1278"/>
      <c r="H6" s="185"/>
      <c r="I6" s="1282" t="s">
        <v>271</v>
      </c>
      <c r="J6" s="1292"/>
      <c r="K6" s="1293"/>
      <c r="L6" s="1389" t="s">
        <v>233</v>
      </c>
      <c r="M6" s="1389"/>
      <c r="N6" s="1955"/>
      <c r="O6" s="212">
        <f>O4+O5*10</f>
        <v>0</v>
      </c>
      <c r="P6" s="56"/>
      <c r="Q6" s="1786" t="s">
        <v>573</v>
      </c>
      <c r="R6" s="1787"/>
      <c r="S6" s="1787"/>
      <c r="T6" s="1787"/>
      <c r="U6" s="1787"/>
      <c r="V6" s="1787"/>
      <c r="W6" s="1788"/>
      <c r="Y6" s="172" t="s">
        <v>32</v>
      </c>
      <c r="Z6" s="176">
        <f>SUMIF($G$17:$G$45,"county",$M$17:$M$45)</f>
        <v>28.00999999999998</v>
      </c>
      <c r="AA6" s="176">
        <f>SUMIF($G$17:$G$45,"county",$S$17:$S$45)</f>
        <v>0</v>
      </c>
    </row>
    <row r="7" spans="1:28" s="57" customFormat="1" ht="16.5" thickBot="1" x14ac:dyDescent="0.25">
      <c r="A7" s="1385" t="s">
        <v>5</v>
      </c>
      <c r="B7" s="1385"/>
      <c r="C7" s="1385"/>
      <c r="D7" s="1282"/>
      <c r="E7" s="1283"/>
      <c r="F7" s="1284" t="s">
        <v>21</v>
      </c>
      <c r="G7" s="1285"/>
      <c r="H7" s="186"/>
      <c r="I7" s="1286" t="s">
        <v>66</v>
      </c>
      <c r="J7" s="1287"/>
      <c r="K7" s="1317"/>
      <c r="L7" s="1691"/>
      <c r="M7" s="1691"/>
      <c r="N7" s="1691"/>
      <c r="O7" s="213"/>
      <c r="P7" s="56"/>
      <c r="Q7" s="1711" t="s">
        <v>235</v>
      </c>
      <c r="R7" s="1712"/>
      <c r="S7" s="1712"/>
      <c r="T7" s="1712"/>
      <c r="U7" s="1712"/>
      <c r="V7" s="1712"/>
      <c r="W7" s="1713"/>
      <c r="Y7" s="172" t="s">
        <v>52</v>
      </c>
      <c r="Z7" s="176">
        <f>SUMIF($G$17:$G$45,"city",$M$17:$M$45)</f>
        <v>0</v>
      </c>
      <c r="AA7" s="176">
        <f>SUMIF($G$17:$G$45,"city",$S$17:$S$45)</f>
        <v>0</v>
      </c>
    </row>
    <row r="8" spans="1:28" s="57" customFormat="1" ht="15.75" customHeight="1" x14ac:dyDescent="0.2">
      <c r="A8" s="1395" t="s">
        <v>54</v>
      </c>
      <c r="B8" s="1395"/>
      <c r="C8" s="1395"/>
      <c r="D8" s="1781">
        <v>1</v>
      </c>
      <c r="E8" s="1809"/>
      <c r="F8" s="1332" t="s">
        <v>253</v>
      </c>
      <c r="G8" s="1334"/>
      <c r="H8" s="187"/>
      <c r="I8" s="1302"/>
      <c r="J8" s="1303"/>
      <c r="K8" s="1304"/>
      <c r="L8" s="1333" t="s">
        <v>257</v>
      </c>
      <c r="M8" s="1333"/>
      <c r="N8" s="1334"/>
      <c r="O8" s="55">
        <v>0</v>
      </c>
      <c r="P8" s="56"/>
      <c r="Q8" s="1725" t="s">
        <v>303</v>
      </c>
      <c r="R8" s="1726"/>
      <c r="S8" s="1726"/>
      <c r="T8" s="1726"/>
      <c r="U8" s="1726"/>
      <c r="V8" s="1726"/>
      <c r="W8" s="1727"/>
      <c r="Y8" s="172" t="s">
        <v>230</v>
      </c>
      <c r="Z8" s="176">
        <f>SUMIF($G$17:$G$45,"court",$M$17:$M$45)</f>
        <v>0</v>
      </c>
      <c r="AA8" s="176">
        <f>SUMIF($G$17:$G$45,"court",$S$17:$S$45)</f>
        <v>0</v>
      </c>
    </row>
    <row r="9" spans="1:28" s="57" customFormat="1" ht="20.25" customHeight="1" thickBot="1" x14ac:dyDescent="0.25">
      <c r="A9" s="1395" t="s">
        <v>53</v>
      </c>
      <c r="B9" s="1395"/>
      <c r="C9" s="1395"/>
      <c r="D9" s="1404">
        <f>100%-D8</f>
        <v>0</v>
      </c>
      <c r="E9" s="1405"/>
      <c r="F9" s="1291" t="s">
        <v>244</v>
      </c>
      <c r="G9" s="1278"/>
      <c r="H9" s="185"/>
      <c r="I9" s="1282"/>
      <c r="J9" s="1292"/>
      <c r="K9" s="1293"/>
      <c r="L9" s="1388" t="s">
        <v>22</v>
      </c>
      <c r="M9" s="1388"/>
      <c r="N9" s="1278"/>
      <c r="O9" s="58"/>
      <c r="Q9" s="1728"/>
      <c r="R9" s="1729"/>
      <c r="S9" s="1729"/>
      <c r="T9" s="1729"/>
      <c r="U9" s="1729"/>
      <c r="V9" s="1729"/>
      <c r="W9" s="1730"/>
      <c r="Y9" s="153" t="s">
        <v>446</v>
      </c>
      <c r="Z9" s="176">
        <f>SUMIF($G$17:$G$45,"CNTY or CTY",$M$17:$M$45)</f>
        <v>0</v>
      </c>
      <c r="AA9" s="176">
        <f>SUMIF($G$17:$G$45,"CNTY or CTY",$S$17:$S$45)</f>
        <v>0</v>
      </c>
    </row>
    <row r="10" spans="1:28" s="57" customFormat="1" ht="16.5" customHeight="1" thickBot="1" x14ac:dyDescent="0.25">
      <c r="A10" s="1436" t="s">
        <v>276</v>
      </c>
      <c r="B10" s="1437"/>
      <c r="C10" s="1437"/>
      <c r="D10" s="1651">
        <f>O6+O10</f>
        <v>0</v>
      </c>
      <c r="E10" s="1652"/>
      <c r="F10" s="1291" t="s">
        <v>20</v>
      </c>
      <c r="G10" s="1278"/>
      <c r="H10" s="185"/>
      <c r="I10" s="1282"/>
      <c r="J10" s="1292"/>
      <c r="K10" s="1293"/>
      <c r="L10" s="1389" t="s">
        <v>233</v>
      </c>
      <c r="M10" s="1389"/>
      <c r="N10" s="1955"/>
      <c r="O10" s="212">
        <f>O8+O9*10</f>
        <v>0</v>
      </c>
      <c r="Q10" s="1962" t="s">
        <v>239</v>
      </c>
      <c r="R10" s="1770"/>
      <c r="S10" s="1770"/>
      <c r="T10" s="1770"/>
      <c r="U10" s="1770"/>
      <c r="V10" s="1770"/>
      <c r="W10" s="1963"/>
      <c r="Y10" s="249" t="s">
        <v>246</v>
      </c>
      <c r="Z10" s="148">
        <f>SUM(Z5:Z9)</f>
        <v>131</v>
      </c>
      <c r="AA10" s="148">
        <f>SUM(AA5:AA9)</f>
        <v>0</v>
      </c>
    </row>
    <row r="11" spans="1:28" s="57" customFormat="1" ht="16.5" customHeight="1" thickBot="1" x14ac:dyDescent="0.25">
      <c r="A11" s="1439" t="s">
        <v>277</v>
      </c>
      <c r="B11" s="1440"/>
      <c r="C11" s="1440"/>
      <c r="D11" s="1649">
        <f>ROUNDUP(D10/10,0)</f>
        <v>0</v>
      </c>
      <c r="E11" s="1650"/>
      <c r="F11" s="1284" t="s">
        <v>21</v>
      </c>
      <c r="G11" s="1285"/>
      <c r="H11" s="186"/>
      <c r="I11" s="1286"/>
      <c r="J11" s="1287"/>
      <c r="K11" s="1288"/>
      <c r="L11" s="1400" t="s">
        <v>568</v>
      </c>
      <c r="M11" s="1401"/>
      <c r="N11" s="1847"/>
      <c r="O11" s="780">
        <f>'1-DUI (Reduce Base)'!P11</f>
        <v>5</v>
      </c>
      <c r="Q11" s="1964" t="s">
        <v>430</v>
      </c>
      <c r="R11" s="1965"/>
      <c r="S11" s="1965"/>
      <c r="T11" s="1965"/>
      <c r="U11" s="1965"/>
      <c r="V11" s="1965"/>
      <c r="W11" s="1966"/>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759" t="s">
        <v>314</v>
      </c>
      <c r="M13" s="1760"/>
      <c r="N13" s="247"/>
      <c r="O13" s="1958" t="s">
        <v>312</v>
      </c>
      <c r="P13" s="1762"/>
      <c r="Q13" s="1763"/>
      <c r="R13" s="248"/>
      <c r="S13" s="272" t="s">
        <v>311</v>
      </c>
      <c r="T13" s="226"/>
      <c r="U13" s="158"/>
      <c r="V13" s="158"/>
      <c r="W13" s="159"/>
      <c r="X13" s="108"/>
      <c r="Y13" s="108"/>
      <c r="Z13" s="108"/>
      <c r="AA13" s="108"/>
      <c r="AB13" s="108"/>
    </row>
    <row r="14" spans="1:28" ht="50.25" customHeight="1" thickBot="1" x14ac:dyDescent="0.25">
      <c r="A14" s="112">
        <v>0.02</v>
      </c>
      <c r="B14" s="112" t="s">
        <v>58</v>
      </c>
      <c r="C14" s="1747" t="s">
        <v>226</v>
      </c>
      <c r="D14" s="1747"/>
      <c r="E14" s="1747"/>
      <c r="F14" s="1747"/>
      <c r="G14" s="113" t="s">
        <v>249</v>
      </c>
      <c r="H14" s="113" t="s">
        <v>0</v>
      </c>
      <c r="I14" s="1805" t="s">
        <v>269</v>
      </c>
      <c r="J14" s="658" t="s">
        <v>290</v>
      </c>
      <c r="K14" s="222" t="s">
        <v>294</v>
      </c>
      <c r="L14" s="1747" t="s">
        <v>6</v>
      </c>
      <c r="M14" s="1717" t="s">
        <v>304</v>
      </c>
      <c r="N14" s="67"/>
      <c r="O14" s="1716" t="s">
        <v>260</v>
      </c>
      <c r="P14" s="1717"/>
      <c r="Q14" s="120" t="s">
        <v>248</v>
      </c>
      <c r="R14" s="121"/>
      <c r="S14" s="250" t="s">
        <v>313</v>
      </c>
      <c r="T14" s="227"/>
      <c r="U14" s="207" t="s">
        <v>256</v>
      </c>
      <c r="V14" s="1749" t="s">
        <v>61</v>
      </c>
      <c r="W14" s="1751" t="s">
        <v>384</v>
      </c>
    </row>
    <row r="15" spans="1:28" ht="11.25" customHeight="1" thickBot="1" x14ac:dyDescent="0.25">
      <c r="A15" s="257"/>
      <c r="B15" s="257"/>
      <c r="C15" s="1826"/>
      <c r="D15" s="1826"/>
      <c r="E15" s="1826"/>
      <c r="F15" s="1826"/>
      <c r="G15" s="258"/>
      <c r="H15" s="258"/>
      <c r="I15" s="1830"/>
      <c r="J15" s="660"/>
      <c r="K15" s="259"/>
      <c r="L15" s="1748"/>
      <c r="M15" s="1837"/>
      <c r="N15" s="68"/>
      <c r="O15" s="1959"/>
      <c r="P15" s="1960"/>
      <c r="Q15" s="189"/>
      <c r="R15" s="121"/>
      <c r="S15" s="256">
        <f>(S35-SUM(S25:S26))/(I35-SUM(K25:K26))</f>
        <v>0</v>
      </c>
      <c r="T15" s="263"/>
      <c r="U15" s="1956" t="s">
        <v>300</v>
      </c>
      <c r="V15" s="1818"/>
      <c r="W15" s="1819"/>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1957"/>
      <c r="V16" s="1818"/>
      <c r="W16" s="1961"/>
    </row>
    <row r="17" spans="1:28" s="74" customFormat="1" ht="15.75" thickTop="1" x14ac:dyDescent="0.2">
      <c r="A17" s="69" t="s">
        <v>7</v>
      </c>
      <c r="B17" s="262"/>
      <c r="C17" s="1692" t="s">
        <v>291</v>
      </c>
      <c r="D17" s="1692"/>
      <c r="E17" s="1692"/>
      <c r="F17" s="1692"/>
      <c r="G17" s="706" t="s">
        <v>32</v>
      </c>
      <c r="H17" s="71" t="s">
        <v>14</v>
      </c>
      <c r="I17" s="154"/>
      <c r="J17" s="160"/>
      <c r="K17" s="160"/>
      <c r="L17" s="162">
        <f>IF(A17="Y",(I35-K35)*2%,)</f>
        <v>0</v>
      </c>
      <c r="M17" s="198">
        <f>(I48-K48)-L17</f>
        <v>1.7999999999999829</v>
      </c>
      <c r="N17" s="164"/>
      <c r="O17" s="1967"/>
      <c r="P17" s="1968"/>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692" t="s">
        <v>289</v>
      </c>
      <c r="D18" s="1692"/>
      <c r="E18" s="1692"/>
      <c r="F18" s="1692"/>
      <c r="G18" s="695" t="str">
        <f>IF(D9&gt;0,"CITY","COUNTY")</f>
        <v>COUNTY</v>
      </c>
      <c r="H18" s="71" t="s">
        <v>14</v>
      </c>
      <c r="I18" s="154"/>
      <c r="J18" s="160"/>
      <c r="K18" s="160">
        <f>J46</f>
        <v>1.2</v>
      </c>
      <c r="L18" s="162">
        <f>IF(A18="Y",K18* 2%,0)</f>
        <v>0</v>
      </c>
      <c r="M18" s="167">
        <f>K18-L18</f>
        <v>1.2</v>
      </c>
      <c r="N18" s="164"/>
      <c r="O18" s="1665"/>
      <c r="P18" s="1666"/>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801" t="s">
        <v>241</v>
      </c>
      <c r="C19" s="1659" t="s">
        <v>307</v>
      </c>
      <c r="D19" s="1659"/>
      <c r="E19" s="1659"/>
      <c r="F19" s="1659"/>
      <c r="G19" s="694" t="s">
        <v>32</v>
      </c>
      <c r="H19" s="77" t="s">
        <v>27</v>
      </c>
      <c r="I19" s="155">
        <f>($D$10)*D8</f>
        <v>0</v>
      </c>
      <c r="J19" s="155">
        <f>I19*30%</f>
        <v>0</v>
      </c>
      <c r="K19" s="662"/>
      <c r="L19" s="162">
        <f t="shared" ref="L19:L32" si="2">IF(A19="Y",K19* 2%,0)</f>
        <v>0</v>
      </c>
      <c r="M19" s="167">
        <f t="shared" ref="M19:M34" si="3">K19-L19</f>
        <v>0</v>
      </c>
      <c r="N19" s="164"/>
      <c r="O19" s="1665"/>
      <c r="P19" s="1666"/>
      <c r="Q19" s="78"/>
      <c r="R19" s="72"/>
      <c r="S19" s="167">
        <f t="shared" si="0"/>
        <v>0</v>
      </c>
      <c r="T19" s="251"/>
      <c r="U19" s="181">
        <f t="shared" si="1"/>
        <v>0</v>
      </c>
      <c r="V19" s="651"/>
      <c r="W19" s="552"/>
      <c r="X19" s="125"/>
      <c r="Y19" s="125"/>
      <c r="Z19" s="125"/>
      <c r="AA19" s="125"/>
      <c r="AB19" s="125"/>
    </row>
    <row r="20" spans="1:28" s="74" customFormat="1" ht="15" x14ac:dyDescent="0.2">
      <c r="A20" s="69" t="s">
        <v>7</v>
      </c>
      <c r="B20" s="1802"/>
      <c r="C20" s="1659" t="s">
        <v>306</v>
      </c>
      <c r="D20" s="1659"/>
      <c r="E20" s="1659"/>
      <c r="F20" s="1659"/>
      <c r="G20" s="694" t="s">
        <v>52</v>
      </c>
      <c r="H20" s="77" t="s">
        <v>25</v>
      </c>
      <c r="I20" s="155">
        <f>($D$10)*D9</f>
        <v>0</v>
      </c>
      <c r="J20" s="155">
        <f t="shared" ref="J20:J33" si="4">I20*30%</f>
        <v>0</v>
      </c>
      <c r="K20" s="155">
        <f>IF(I20&gt;0,(I20-J20)*98%,)</f>
        <v>0</v>
      </c>
      <c r="L20" s="162">
        <f t="shared" si="2"/>
        <v>0</v>
      </c>
      <c r="M20" s="167">
        <f t="shared" si="3"/>
        <v>0</v>
      </c>
      <c r="N20" s="164"/>
      <c r="O20" s="1665"/>
      <c r="P20" s="1666"/>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659" t="s">
        <v>546</v>
      </c>
      <c r="D21" s="1659"/>
      <c r="E21" s="1659"/>
      <c r="F21" s="1659"/>
      <c r="G21" s="694" t="s">
        <v>31</v>
      </c>
      <c r="H21" s="77" t="s">
        <v>26</v>
      </c>
      <c r="I21" s="155">
        <f>$D$11*B21</f>
        <v>0</v>
      </c>
      <c r="J21" s="155">
        <f t="shared" si="4"/>
        <v>0</v>
      </c>
      <c r="K21" s="661"/>
      <c r="L21" s="162">
        <f t="shared" si="2"/>
        <v>0</v>
      </c>
      <c r="M21" s="167">
        <f t="shared" si="3"/>
        <v>0</v>
      </c>
      <c r="N21" s="164"/>
      <c r="O21" s="1665"/>
      <c r="P21" s="1666"/>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659" t="s">
        <v>547</v>
      </c>
      <c r="D22" s="1659"/>
      <c r="E22" s="1659"/>
      <c r="F22" s="1659"/>
      <c r="G22" s="694" t="s">
        <v>32</v>
      </c>
      <c r="H22" s="77" t="s">
        <v>27</v>
      </c>
      <c r="I22" s="155">
        <f t="shared" ref="I22:I33" si="5">$D$11*B22</f>
        <v>0</v>
      </c>
      <c r="J22" s="155">
        <f t="shared" si="4"/>
        <v>0</v>
      </c>
      <c r="K22" s="661"/>
      <c r="L22" s="162">
        <f t="shared" si="2"/>
        <v>0</v>
      </c>
      <c r="M22" s="167">
        <f t="shared" si="3"/>
        <v>0</v>
      </c>
      <c r="N22" s="164"/>
      <c r="O22" s="1665"/>
      <c r="P22" s="1666"/>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665" t="s">
        <v>216</v>
      </c>
      <c r="D23" s="1700"/>
      <c r="E23" s="1700"/>
      <c r="F23" s="1701"/>
      <c r="G23" s="694" t="s">
        <v>32</v>
      </c>
      <c r="H23" s="77" t="s">
        <v>55</v>
      </c>
      <c r="I23" s="155">
        <f t="shared" si="5"/>
        <v>0</v>
      </c>
      <c r="J23" s="155">
        <f t="shared" si="4"/>
        <v>0</v>
      </c>
      <c r="K23" s="661"/>
      <c r="L23" s="162">
        <f t="shared" si="2"/>
        <v>0</v>
      </c>
      <c r="M23" s="167">
        <f t="shared" si="3"/>
        <v>0</v>
      </c>
      <c r="N23" s="164"/>
      <c r="O23" s="1665"/>
      <c r="P23" s="1666"/>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665" t="s">
        <v>466</v>
      </c>
      <c r="D24" s="1700"/>
      <c r="E24" s="1700"/>
      <c r="F24" s="1701"/>
      <c r="G24" s="694" t="s">
        <v>31</v>
      </c>
      <c r="H24" s="77" t="s">
        <v>72</v>
      </c>
      <c r="I24" s="155">
        <f t="shared" si="5"/>
        <v>0</v>
      </c>
      <c r="J24" s="155">
        <f t="shared" si="4"/>
        <v>0</v>
      </c>
      <c r="K24" s="661"/>
      <c r="L24" s="162">
        <f t="shared" si="2"/>
        <v>0</v>
      </c>
      <c r="M24" s="167">
        <f t="shared" si="3"/>
        <v>0</v>
      </c>
      <c r="N24" s="164"/>
      <c r="O24" s="1665"/>
      <c r="P24" s="1666"/>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5"/>
        <v>0</v>
      </c>
      <c r="J25" s="155">
        <f t="shared" si="4"/>
        <v>0</v>
      </c>
      <c r="K25" s="155">
        <f>IF(B25&gt;0,1,)</f>
        <v>0</v>
      </c>
      <c r="L25" s="162">
        <f t="shared" si="2"/>
        <v>0</v>
      </c>
      <c r="M25" s="167">
        <f t="shared" si="3"/>
        <v>0</v>
      </c>
      <c r="N25" s="164"/>
      <c r="O25" s="1665"/>
      <c r="P25" s="1666"/>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659" t="s">
        <v>218</v>
      </c>
      <c r="D26" s="1659"/>
      <c r="E26" s="1741"/>
      <c r="F26" s="1742"/>
      <c r="G26" s="694" t="s">
        <v>32</v>
      </c>
      <c r="H26" s="77" t="s">
        <v>35</v>
      </c>
      <c r="I26" s="155">
        <f t="shared" si="5"/>
        <v>0</v>
      </c>
      <c r="J26" s="155">
        <f t="shared" si="4"/>
        <v>0</v>
      </c>
      <c r="K26" s="155">
        <f>IF(B26&gt;0,1,)</f>
        <v>1</v>
      </c>
      <c r="L26" s="162">
        <f t="shared" si="2"/>
        <v>0</v>
      </c>
      <c r="M26" s="167">
        <f t="shared" si="3"/>
        <v>1</v>
      </c>
      <c r="N26" s="164"/>
      <c r="O26" s="1665"/>
      <c r="P26" s="1666"/>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659" t="s">
        <v>219</v>
      </c>
      <c r="D27" s="1659"/>
      <c r="E27" s="1741"/>
      <c r="F27" s="1742"/>
      <c r="G27" s="694" t="s">
        <v>32</v>
      </c>
      <c r="H27" s="77" t="s">
        <v>65</v>
      </c>
      <c r="I27" s="155">
        <f t="shared" si="5"/>
        <v>0</v>
      </c>
      <c r="J27" s="155">
        <f t="shared" si="4"/>
        <v>0</v>
      </c>
      <c r="K27" s="155">
        <f>IF(B27&gt;0,$D$11*2,)</f>
        <v>0</v>
      </c>
      <c r="L27" s="162">
        <f t="shared" si="2"/>
        <v>0</v>
      </c>
      <c r="M27" s="167">
        <f t="shared" si="3"/>
        <v>0</v>
      </c>
      <c r="N27" s="164"/>
      <c r="O27" s="1665"/>
      <c r="P27" s="1666"/>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659" t="s">
        <v>401</v>
      </c>
      <c r="D28" s="1659"/>
      <c r="E28" s="1741"/>
      <c r="F28" s="1742"/>
      <c r="G28" s="694" t="s">
        <v>32</v>
      </c>
      <c r="H28" s="77" t="s">
        <v>65</v>
      </c>
      <c r="I28" s="155">
        <f t="shared" si="5"/>
        <v>0</v>
      </c>
      <c r="J28" s="155">
        <f>I28*30%</f>
        <v>0</v>
      </c>
      <c r="K28" s="155"/>
      <c r="L28" s="162">
        <f>IF(A28="Y",K28* 2%,0)</f>
        <v>0</v>
      </c>
      <c r="M28" s="167">
        <f>K28-L28</f>
        <v>0</v>
      </c>
      <c r="N28" s="164"/>
      <c r="O28" s="1665"/>
      <c r="P28" s="1666"/>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659" t="s">
        <v>254</v>
      </c>
      <c r="D29" s="1659"/>
      <c r="E29" s="1743"/>
      <c r="F29" s="1744"/>
      <c r="G29" s="694" t="s">
        <v>32</v>
      </c>
      <c r="H29" s="77"/>
      <c r="I29" s="155">
        <f t="shared" si="5"/>
        <v>0</v>
      </c>
      <c r="J29" s="155">
        <f t="shared" si="4"/>
        <v>0</v>
      </c>
      <c r="K29" s="155"/>
      <c r="L29" s="162">
        <f t="shared" si="2"/>
        <v>0</v>
      </c>
      <c r="M29" s="167">
        <f t="shared" si="3"/>
        <v>0</v>
      </c>
      <c r="N29" s="164"/>
      <c r="O29" s="1665"/>
      <c r="P29" s="1666"/>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449" t="s">
        <v>286</v>
      </c>
      <c r="D30" s="1459"/>
      <c r="E30" s="1459"/>
      <c r="F30" s="1460"/>
      <c r="G30" s="702" t="s">
        <v>32</v>
      </c>
      <c r="H30" s="84" t="s">
        <v>36</v>
      </c>
      <c r="I30" s="155">
        <f t="shared" si="5"/>
        <v>0</v>
      </c>
      <c r="J30" s="155">
        <f t="shared" si="4"/>
        <v>0</v>
      </c>
      <c r="K30" s="155">
        <f>IF(B30&gt;0,$D$11*2,)</f>
        <v>0</v>
      </c>
      <c r="L30" s="162">
        <f t="shared" si="2"/>
        <v>0</v>
      </c>
      <c r="M30" s="167">
        <f t="shared" si="3"/>
        <v>0</v>
      </c>
      <c r="N30" s="164"/>
      <c r="O30" s="1665"/>
      <c r="P30" s="1666"/>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449" t="s">
        <v>385</v>
      </c>
      <c r="D31" s="1459"/>
      <c r="E31" s="1459"/>
      <c r="F31" s="1460"/>
      <c r="G31" s="702" t="s">
        <v>31</v>
      </c>
      <c r="H31" s="91" t="s">
        <v>39</v>
      </c>
      <c r="I31" s="202">
        <v>4</v>
      </c>
      <c r="J31" s="155">
        <f>I31*30%</f>
        <v>1.2</v>
      </c>
      <c r="K31" s="155"/>
      <c r="L31" s="162"/>
      <c r="M31" s="167">
        <f>K31</f>
        <v>0</v>
      </c>
      <c r="N31" s="164"/>
      <c r="O31" s="1665"/>
      <c r="P31" s="1666"/>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449" t="s">
        <v>555</v>
      </c>
      <c r="D32" s="1459"/>
      <c r="E32" s="1460"/>
      <c r="F32" s="1591" t="s">
        <v>281</v>
      </c>
      <c r="G32" s="702" t="s">
        <v>31</v>
      </c>
      <c r="H32" s="84" t="s">
        <v>37</v>
      </c>
      <c r="I32" s="155">
        <f t="shared" si="5"/>
        <v>0</v>
      </c>
      <c r="J32" s="155">
        <f t="shared" si="4"/>
        <v>0</v>
      </c>
      <c r="K32" s="155">
        <f>I32</f>
        <v>0</v>
      </c>
      <c r="L32" s="162">
        <f t="shared" si="2"/>
        <v>0</v>
      </c>
      <c r="M32" s="167">
        <f t="shared" si="3"/>
        <v>0</v>
      </c>
      <c r="N32" s="164"/>
      <c r="O32" s="1665"/>
      <c r="P32" s="1666"/>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449" t="s">
        <v>556</v>
      </c>
      <c r="D33" s="1459"/>
      <c r="E33" s="1460"/>
      <c r="F33" s="1592"/>
      <c r="G33" s="702" t="s">
        <v>31</v>
      </c>
      <c r="H33" s="84" t="s">
        <v>197</v>
      </c>
      <c r="I33" s="155">
        <f t="shared" si="5"/>
        <v>0</v>
      </c>
      <c r="J33" s="155">
        <f t="shared" si="4"/>
        <v>0</v>
      </c>
      <c r="K33" s="155">
        <f>I33</f>
        <v>0</v>
      </c>
      <c r="L33" s="162">
        <f>IF(A33="Y",#REF!* 2%,0)</f>
        <v>0</v>
      </c>
      <c r="M33" s="167">
        <f t="shared" si="3"/>
        <v>0</v>
      </c>
      <c r="N33" s="164"/>
      <c r="O33" s="1665"/>
      <c r="P33" s="1666"/>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449" t="s">
        <v>220</v>
      </c>
      <c r="D34" s="1459"/>
      <c r="E34" s="1459"/>
      <c r="F34" s="1460"/>
      <c r="G34" s="702" t="s">
        <v>31</v>
      </c>
      <c r="H34" s="84" t="s">
        <v>10</v>
      </c>
      <c r="I34" s="155">
        <f>D10*20%</f>
        <v>0</v>
      </c>
      <c r="J34" s="155"/>
      <c r="K34" s="155">
        <f>I34</f>
        <v>0</v>
      </c>
      <c r="L34" s="162"/>
      <c r="M34" s="167">
        <f t="shared" si="3"/>
        <v>0</v>
      </c>
      <c r="N34" s="164"/>
      <c r="O34" s="1665"/>
      <c r="P34" s="1666"/>
      <c r="Q34" s="78"/>
      <c r="R34" s="72"/>
      <c r="S34" s="167">
        <f>IF($S$48=0,,$S$15*M34)</f>
        <v>0</v>
      </c>
      <c r="T34" s="251"/>
      <c r="U34" s="181">
        <f t="shared" si="1"/>
        <v>0</v>
      </c>
      <c r="V34" s="651"/>
      <c r="W34" s="517"/>
      <c r="X34" s="127"/>
      <c r="Y34" s="127"/>
      <c r="Z34" s="127"/>
      <c r="AA34" s="127"/>
      <c r="AB34" s="127"/>
    </row>
    <row r="35" spans="1:28" s="90" customFormat="1" ht="15" x14ac:dyDescent="0.2">
      <c r="A35" s="69"/>
      <c r="B35" s="86"/>
      <c r="C35" s="1456" t="s">
        <v>221</v>
      </c>
      <c r="D35" s="1694"/>
      <c r="E35" s="1694"/>
      <c r="F35" s="1695"/>
      <c r="G35" s="703"/>
      <c r="H35" s="88"/>
      <c r="I35" s="157">
        <f>SUM(I18:I34)</f>
        <v>4</v>
      </c>
      <c r="J35" s="157"/>
      <c r="K35" s="157">
        <f>SUM(K17:K34)</f>
        <v>2.2000000000000002</v>
      </c>
      <c r="L35" s="162"/>
      <c r="M35" s="168">
        <f>SUM(M17:M34)</f>
        <v>3.9999999999999831</v>
      </c>
      <c r="N35" s="165"/>
      <c r="O35" s="1449"/>
      <c r="P35" s="1699"/>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449" t="s">
        <v>419</v>
      </c>
      <c r="D36" s="1459"/>
      <c r="E36" s="1459"/>
      <c r="F36" s="1460"/>
      <c r="G36" s="702" t="s">
        <v>31</v>
      </c>
      <c r="H36" s="91"/>
      <c r="I36" s="202">
        <v>40</v>
      </c>
      <c r="J36" s="155"/>
      <c r="K36" s="155">
        <f t="shared" ref="K36:K44" si="6">I36</f>
        <v>40</v>
      </c>
      <c r="L36" s="162"/>
      <c r="M36" s="167">
        <f t="shared" ref="M36:M45" si="7">K36-L36</f>
        <v>40</v>
      </c>
      <c r="N36" s="164"/>
      <c r="O36" s="1665"/>
      <c r="P36" s="1666"/>
      <c r="Q36" s="78"/>
      <c r="R36" s="72"/>
      <c r="S36" s="167">
        <f t="shared" ref="S36:S38" si="8">IF($S$48=0,,K36)</f>
        <v>0</v>
      </c>
      <c r="T36" s="251"/>
      <c r="U36" s="181">
        <f t="shared" si="1"/>
        <v>-40</v>
      </c>
      <c r="V36" s="651"/>
      <c r="W36" s="518"/>
      <c r="X36" s="127"/>
      <c r="Y36" s="127"/>
      <c r="Z36" s="127"/>
      <c r="AA36" s="127"/>
      <c r="AB36" s="127"/>
    </row>
    <row r="37" spans="1:28" s="85" customFormat="1" ht="15" x14ac:dyDescent="0.2">
      <c r="A37" s="69" t="s">
        <v>7</v>
      </c>
      <c r="B37" s="75"/>
      <c r="C37" s="1446" t="s">
        <v>259</v>
      </c>
      <c r="D37" s="1447"/>
      <c r="E37" s="1447"/>
      <c r="F37" s="1448"/>
      <c r="G37" s="704" t="s">
        <v>31</v>
      </c>
      <c r="H37" s="92" t="s">
        <v>197</v>
      </c>
      <c r="I37" s="202">
        <v>35</v>
      </c>
      <c r="J37" s="196"/>
      <c r="K37" s="155">
        <f t="shared" si="6"/>
        <v>35</v>
      </c>
      <c r="L37" s="162">
        <f>IF(A37="Y", IF($L$15="BASE-UP",#REF!*2%, IF($L$15="TOP-DOWN",#REF!* 2%,0)),0)</f>
        <v>0</v>
      </c>
      <c r="M37" s="167">
        <f t="shared" si="7"/>
        <v>35</v>
      </c>
      <c r="N37" s="164"/>
      <c r="O37" s="1665"/>
      <c r="P37" s="1666"/>
      <c r="Q37" s="78"/>
      <c r="R37" s="72"/>
      <c r="S37" s="167">
        <f t="shared" si="8"/>
        <v>0</v>
      </c>
      <c r="T37" s="251"/>
      <c r="U37" s="181">
        <f t="shared" si="1"/>
        <v>-35</v>
      </c>
      <c r="V37" s="651"/>
      <c r="W37" s="516"/>
      <c r="X37" s="127"/>
      <c r="Y37" s="127"/>
      <c r="Z37" s="127"/>
      <c r="AA37" s="127"/>
      <c r="AB37" s="127"/>
    </row>
    <row r="38" spans="1:28" s="85" customFormat="1" ht="15" x14ac:dyDescent="0.2">
      <c r="A38" s="69" t="s">
        <v>7</v>
      </c>
      <c r="B38" s="75"/>
      <c r="C38" s="1446" t="s">
        <v>292</v>
      </c>
      <c r="D38" s="1447"/>
      <c r="E38" s="1447"/>
      <c r="F38" s="1448"/>
      <c r="G38" s="704" t="s">
        <v>32</v>
      </c>
      <c r="H38" s="92"/>
      <c r="I38" s="202">
        <f>49*49%</f>
        <v>24.009999999999998</v>
      </c>
      <c r="J38" s="196"/>
      <c r="K38" s="155">
        <f t="shared" si="6"/>
        <v>24.009999999999998</v>
      </c>
      <c r="L38" s="162">
        <f>IF(A38="Y", IF($L$15="BASE-UP",#REF!*2%, IF($L$15="TOP-DOWN",#REF!* 2%,0)),0)</f>
        <v>0</v>
      </c>
      <c r="M38" s="167">
        <f t="shared" si="7"/>
        <v>24.009999999999998</v>
      </c>
      <c r="N38" s="164"/>
      <c r="O38" s="1665"/>
      <c r="P38" s="1666"/>
      <c r="Q38" s="78"/>
      <c r="R38" s="72"/>
      <c r="S38" s="167">
        <f t="shared" si="8"/>
        <v>0</v>
      </c>
      <c r="T38" s="251"/>
      <c r="U38" s="181">
        <f t="shared" si="1"/>
        <v>-24.009999999999998</v>
      </c>
      <c r="V38" s="652"/>
      <c r="W38" s="557"/>
      <c r="X38" s="127"/>
      <c r="Y38" s="127"/>
      <c r="Z38" s="127"/>
      <c r="AA38" s="127"/>
      <c r="AB38" s="127"/>
    </row>
    <row r="39" spans="1:28" s="85" customFormat="1" ht="15" x14ac:dyDescent="0.2">
      <c r="A39" s="69" t="s">
        <v>7</v>
      </c>
      <c r="B39" s="75"/>
      <c r="C39" s="1446" t="s">
        <v>293</v>
      </c>
      <c r="D39" s="1447"/>
      <c r="E39" s="1447"/>
      <c r="F39" s="1448"/>
      <c r="G39" s="704" t="s">
        <v>31</v>
      </c>
      <c r="H39" s="92"/>
      <c r="I39" s="202">
        <f>49*51%</f>
        <v>24.990000000000002</v>
      </c>
      <c r="J39" s="196"/>
      <c r="K39" s="155">
        <f t="shared" si="6"/>
        <v>24.990000000000002</v>
      </c>
      <c r="L39" s="162">
        <f>IF(A39="Y", IF($L$15="BASE-UP",#REF!*2%, IF($L$15="TOP-DOWN",#REF!* 2%,0)),0)</f>
        <v>0</v>
      </c>
      <c r="M39" s="167">
        <f t="shared" si="7"/>
        <v>24.990000000000002</v>
      </c>
      <c r="N39" s="164"/>
      <c r="O39" s="1665"/>
      <c r="P39" s="1666"/>
      <c r="Q39" s="78"/>
      <c r="R39" s="72"/>
      <c r="S39" s="167">
        <f t="shared" ref="S39:S44" si="9">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446" t="s">
        <v>427</v>
      </c>
      <c r="D40" s="1447"/>
      <c r="E40" s="1447"/>
      <c r="F40" s="1448"/>
      <c r="G40" s="704" t="s">
        <v>230</v>
      </c>
      <c r="H40" s="92"/>
      <c r="I40" s="202"/>
      <c r="J40" s="196"/>
      <c r="K40" s="155">
        <f>I40</f>
        <v>0</v>
      </c>
      <c r="L40" s="162">
        <f>IF(A40="Y", IF($L$15="BASE-UP",#REF!*2%, IF($L$15="TOP-DOWN",#REF!* 2%,0)),0)</f>
        <v>0</v>
      </c>
      <c r="M40" s="167">
        <f>K40-L40</f>
        <v>0</v>
      </c>
      <c r="N40" s="164"/>
      <c r="O40" s="1665"/>
      <c r="P40" s="1666"/>
      <c r="Q40" s="78"/>
      <c r="R40" s="72"/>
      <c r="S40" s="167">
        <f t="shared" si="9"/>
        <v>0</v>
      </c>
      <c r="T40" s="251"/>
      <c r="U40" s="181">
        <f>IF($U$15="Base-up   (B-A)",Q40-M40,Q40-S40)</f>
        <v>0</v>
      </c>
      <c r="V40" s="651"/>
      <c r="W40" s="519"/>
      <c r="X40" s="127"/>
      <c r="Y40" s="127"/>
      <c r="Z40" s="127"/>
      <c r="AA40" s="127"/>
      <c r="AB40" s="127"/>
    </row>
    <row r="41" spans="1:28" s="85" customFormat="1" ht="33.75" customHeight="1" x14ac:dyDescent="0.2">
      <c r="A41" s="69" t="s">
        <v>7</v>
      </c>
      <c r="B41" s="75"/>
      <c r="C41" s="1449" t="s">
        <v>551</v>
      </c>
      <c r="D41" s="1447"/>
      <c r="E41" s="1447"/>
      <c r="F41" s="1448"/>
      <c r="G41" s="704" t="s">
        <v>31</v>
      </c>
      <c r="H41" s="92"/>
      <c r="I41" s="202">
        <v>3</v>
      </c>
      <c r="J41" s="196"/>
      <c r="K41" s="155">
        <f>I41</f>
        <v>3</v>
      </c>
      <c r="L41" s="162">
        <f>IF(A41="Y", IF($L$15="BASE-UP",#REF!*2%, IF($L$15="TOP-DOWN",#REF!* 2%,0)),0)</f>
        <v>0</v>
      </c>
      <c r="M41" s="167">
        <f>K41-L41</f>
        <v>3</v>
      </c>
      <c r="N41" s="164"/>
      <c r="O41" s="1665"/>
      <c r="P41" s="1666"/>
      <c r="Q41" s="78"/>
      <c r="R41" s="72"/>
      <c r="S41" s="167">
        <f t="shared" si="9"/>
        <v>0</v>
      </c>
      <c r="T41" s="251"/>
      <c r="U41" s="181">
        <f t="shared" si="1"/>
        <v>-3</v>
      </c>
      <c r="V41" s="651"/>
      <c r="W41" s="630"/>
      <c r="X41" s="127"/>
      <c r="Y41" s="127"/>
      <c r="Z41" s="127"/>
      <c r="AA41" s="127"/>
      <c r="AB41" s="127"/>
    </row>
    <row r="42" spans="1:28" s="74" customFormat="1" ht="15.75" customHeight="1" x14ac:dyDescent="0.2">
      <c r="A42" s="69" t="s">
        <v>7</v>
      </c>
      <c r="B42" s="94"/>
      <c r="C42" s="1446" t="s">
        <v>421</v>
      </c>
      <c r="D42" s="1447"/>
      <c r="E42" s="1447"/>
      <c r="F42" s="1448"/>
      <c r="G42" s="704" t="s">
        <v>230</v>
      </c>
      <c r="H42" s="92" t="s">
        <v>24</v>
      </c>
      <c r="I42" s="202"/>
      <c r="J42" s="196"/>
      <c r="K42" s="155">
        <f t="shared" si="6"/>
        <v>0</v>
      </c>
      <c r="L42" s="162">
        <f>IF(A42="Y", IF($L$15="BASE-UP",#REF!*2%, IF($L$15="TOP-DOWN",#REF!* 2%,0)),0)</f>
        <v>0</v>
      </c>
      <c r="M42" s="167">
        <f t="shared" si="7"/>
        <v>0</v>
      </c>
      <c r="N42" s="164"/>
      <c r="O42" s="1665"/>
      <c r="P42" s="1666"/>
      <c r="Q42" s="78"/>
      <c r="R42" s="72"/>
      <c r="S42" s="167">
        <f t="shared" si="9"/>
        <v>0</v>
      </c>
      <c r="T42" s="251"/>
      <c r="U42" s="181">
        <f t="shared" si="1"/>
        <v>0</v>
      </c>
      <c r="V42" s="651"/>
      <c r="W42" s="516"/>
      <c r="X42" s="125"/>
      <c r="Y42" s="125"/>
      <c r="Z42" s="125"/>
      <c r="AA42" s="125"/>
      <c r="AB42" s="125"/>
    </row>
    <row r="43" spans="1:28" s="74" customFormat="1" ht="62.25" customHeight="1" x14ac:dyDescent="0.2">
      <c r="A43" s="69" t="s">
        <v>7</v>
      </c>
      <c r="B43" s="94"/>
      <c r="C43" s="1449" t="s">
        <v>518</v>
      </c>
      <c r="D43" s="1459"/>
      <c r="E43" s="1459"/>
      <c r="F43" s="1460"/>
      <c r="G43" s="704" t="s">
        <v>230</v>
      </c>
      <c r="H43" s="92" t="s">
        <v>82</v>
      </c>
      <c r="I43" s="202"/>
      <c r="J43" s="196"/>
      <c r="K43" s="155">
        <f t="shared" si="6"/>
        <v>0</v>
      </c>
      <c r="L43" s="162">
        <f>IF(A43="Y", IF($L$15="BASE-UP",#REF!*2%, IF($L$15="TOP-DOWN",#REF!* 2%,0)),0)</f>
        <v>0</v>
      </c>
      <c r="M43" s="167">
        <f t="shared" si="7"/>
        <v>0</v>
      </c>
      <c r="N43" s="164"/>
      <c r="O43" s="1665"/>
      <c r="P43" s="1666"/>
      <c r="Q43" s="78"/>
      <c r="R43" s="72"/>
      <c r="S43" s="167">
        <f t="shared" si="9"/>
        <v>0</v>
      </c>
      <c r="T43" s="251"/>
      <c r="U43" s="181">
        <f t="shared" si="1"/>
        <v>0</v>
      </c>
      <c r="V43" s="651"/>
      <c r="W43" s="516"/>
      <c r="X43" s="125"/>
      <c r="Y43" s="125"/>
      <c r="Z43" s="125"/>
      <c r="AA43" s="125"/>
      <c r="AB43" s="125"/>
    </row>
    <row r="44" spans="1:28" s="74" customFormat="1" ht="15.75" customHeight="1" x14ac:dyDescent="0.2">
      <c r="A44" s="69" t="s">
        <v>7</v>
      </c>
      <c r="B44" s="94"/>
      <c r="C44" s="1446" t="s">
        <v>225</v>
      </c>
      <c r="D44" s="1447"/>
      <c r="E44" s="1447"/>
      <c r="F44" s="1448"/>
      <c r="G44" s="704" t="s">
        <v>31</v>
      </c>
      <c r="H44" s="92" t="s">
        <v>80</v>
      </c>
      <c r="I44" s="203"/>
      <c r="J44" s="196"/>
      <c r="K44" s="155">
        <f t="shared" si="6"/>
        <v>0</v>
      </c>
      <c r="L44" s="162">
        <f>IF(A44="Y", IF($L$15="BASE-UP",#REF!*2%, IF($L$15="TOP-DOWN",#REF!* 2%,0)),0)</f>
        <v>0</v>
      </c>
      <c r="M44" s="167">
        <f t="shared" si="7"/>
        <v>0</v>
      </c>
      <c r="N44" s="164"/>
      <c r="O44" s="1665"/>
      <c r="P44" s="1666"/>
      <c r="Q44" s="78"/>
      <c r="R44" s="72"/>
      <c r="S44" s="167">
        <f t="shared" si="9"/>
        <v>0</v>
      </c>
      <c r="T44" s="251"/>
      <c r="U44" s="181">
        <f t="shared" si="1"/>
        <v>0</v>
      </c>
      <c r="V44" s="651"/>
      <c r="W44" s="516"/>
      <c r="X44" s="125"/>
      <c r="Y44" s="125"/>
      <c r="Z44" s="125"/>
      <c r="AA44" s="125"/>
      <c r="AB44" s="125"/>
    </row>
    <row r="45" spans="1:28" s="74" customFormat="1" ht="15.75" hidden="1" customHeight="1" x14ac:dyDescent="0.2">
      <c r="A45" s="69"/>
      <c r="B45" s="94"/>
      <c r="C45" s="1696" t="s">
        <v>224</v>
      </c>
      <c r="D45" s="1697"/>
      <c r="E45" s="1697"/>
      <c r="F45" s="1698"/>
      <c r="G45" s="95" t="s">
        <v>31</v>
      </c>
      <c r="H45" s="96" t="s">
        <v>41</v>
      </c>
      <c r="I45" s="97"/>
      <c r="J45" s="197"/>
      <c r="K45" s="197"/>
      <c r="L45" s="163"/>
      <c r="M45" s="167">
        <f t="shared" si="7"/>
        <v>0</v>
      </c>
      <c r="N45" s="164"/>
      <c r="O45" s="1665"/>
      <c r="P45" s="1666"/>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647" t="s">
        <v>61</v>
      </c>
      <c r="B49" s="1647"/>
      <c r="C49" s="1647"/>
      <c r="D49" s="210"/>
      <c r="E49" s="133"/>
      <c r="F49" s="133"/>
      <c r="M49" s="135"/>
      <c r="N49" s="136"/>
      <c r="R49" s="137"/>
      <c r="S49" s="137"/>
      <c r="T49" s="137"/>
      <c r="U49" s="138"/>
      <c r="V49" s="138"/>
      <c r="W49" s="139"/>
    </row>
    <row r="50" spans="1:25" s="141" customFormat="1" ht="16.5" customHeight="1" x14ac:dyDescent="0.2">
      <c r="A50" s="769">
        <v>1</v>
      </c>
      <c r="B50" s="1949"/>
      <c r="C50" s="1950"/>
      <c r="D50" s="1950"/>
      <c r="E50" s="1950"/>
      <c r="F50" s="1950"/>
      <c r="G50" s="1950"/>
      <c r="H50" s="1950"/>
      <c r="I50" s="1950"/>
      <c r="J50" s="1950"/>
      <c r="K50" s="1950"/>
      <c r="L50" s="1950"/>
      <c r="M50" s="1950"/>
      <c r="N50" s="1950"/>
      <c r="O50" s="1950"/>
      <c r="P50" s="1950"/>
      <c r="Q50" s="1950"/>
      <c r="R50" s="1950"/>
      <c r="S50" s="1950"/>
      <c r="T50" s="1950"/>
      <c r="U50" s="1950"/>
      <c r="V50" s="1950"/>
      <c r="W50" s="1951"/>
      <c r="X50" s="553"/>
      <c r="Y50" s="553"/>
    </row>
    <row r="51" spans="1:25" s="141" customFormat="1" ht="16.5" customHeight="1" x14ac:dyDescent="0.2">
      <c r="A51" s="769">
        <v>2</v>
      </c>
      <c r="B51" s="1949"/>
      <c r="C51" s="1950"/>
      <c r="D51" s="1950"/>
      <c r="E51" s="1950"/>
      <c r="F51" s="1950"/>
      <c r="G51" s="1950"/>
      <c r="H51" s="1950"/>
      <c r="I51" s="1950"/>
      <c r="J51" s="1950"/>
      <c r="K51" s="1950"/>
      <c r="L51" s="1950"/>
      <c r="M51" s="1950"/>
      <c r="N51" s="1950"/>
      <c r="O51" s="1950"/>
      <c r="P51" s="1950"/>
      <c r="Q51" s="1950"/>
      <c r="R51" s="1950"/>
      <c r="S51" s="1950"/>
      <c r="T51" s="1950"/>
      <c r="U51" s="1950"/>
      <c r="V51" s="1950"/>
      <c r="W51" s="1951"/>
      <c r="X51" s="554"/>
      <c r="Y51" s="554"/>
    </row>
    <row r="52" spans="1:25" s="141" customFormat="1" ht="16.5" customHeight="1" x14ac:dyDescent="0.2">
      <c r="A52" s="769">
        <v>3</v>
      </c>
      <c r="B52" s="1949"/>
      <c r="C52" s="1950"/>
      <c r="D52" s="1950"/>
      <c r="E52" s="1950"/>
      <c r="F52" s="1950"/>
      <c r="G52" s="1950"/>
      <c r="H52" s="1950"/>
      <c r="I52" s="1950"/>
      <c r="J52" s="1950"/>
      <c r="K52" s="1950"/>
      <c r="L52" s="1950"/>
      <c r="M52" s="1950"/>
      <c r="N52" s="1950"/>
      <c r="O52" s="1950"/>
      <c r="P52" s="1950"/>
      <c r="Q52" s="1950"/>
      <c r="R52" s="1950"/>
      <c r="S52" s="1950"/>
      <c r="T52" s="1950"/>
      <c r="U52" s="1950"/>
      <c r="V52" s="1950"/>
      <c r="W52" s="1951"/>
    </row>
    <row r="53" spans="1:25" ht="18.75" customHeight="1" x14ac:dyDescent="0.2">
      <c r="A53" s="769">
        <v>4</v>
      </c>
      <c r="B53" s="1949"/>
      <c r="C53" s="1950"/>
      <c r="D53" s="1950"/>
      <c r="E53" s="1950"/>
      <c r="F53" s="1950"/>
      <c r="G53" s="1950"/>
      <c r="H53" s="1950"/>
      <c r="I53" s="1950"/>
      <c r="J53" s="1950"/>
      <c r="K53" s="1950"/>
      <c r="L53" s="1950"/>
      <c r="M53" s="1950"/>
      <c r="N53" s="1950"/>
      <c r="O53" s="1950"/>
      <c r="P53" s="1950"/>
      <c r="Q53" s="1950"/>
      <c r="R53" s="1950"/>
      <c r="S53" s="1950"/>
      <c r="T53" s="1950"/>
      <c r="U53" s="1950"/>
      <c r="V53" s="1950"/>
      <c r="W53" s="1951"/>
    </row>
  </sheetData>
  <sheetProtection insertRows="0"/>
  <mergeCells count="127">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O21:P21"/>
    <mergeCell ref="C22:F22"/>
    <mergeCell ref="O22:P22"/>
    <mergeCell ref="C23:F23"/>
    <mergeCell ref="O23:P23"/>
    <mergeCell ref="C17:F17"/>
    <mergeCell ref="O17:P17"/>
    <mergeCell ref="L14:L15"/>
    <mergeCell ref="M14:M15"/>
    <mergeCell ref="C18:F18"/>
    <mergeCell ref="O18:P18"/>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I10:K10"/>
    <mergeCell ref="L10:N10"/>
    <mergeCell ref="U15:U16"/>
    <mergeCell ref="L13:M13"/>
    <mergeCell ref="O13:Q13"/>
    <mergeCell ref="C14:F15"/>
    <mergeCell ref="I14:I15"/>
    <mergeCell ref="O14:P14"/>
    <mergeCell ref="I9:K9"/>
    <mergeCell ref="O15:P15"/>
    <mergeCell ref="A7:C7"/>
    <mergeCell ref="D7:E7"/>
    <mergeCell ref="F7:G7"/>
    <mergeCell ref="A8:C8"/>
    <mergeCell ref="D8:E8"/>
    <mergeCell ref="F8:G8"/>
    <mergeCell ref="I8:K8"/>
    <mergeCell ref="L8:N8"/>
    <mergeCell ref="I7:K7"/>
    <mergeCell ref="L7:N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669" t="s">
        <v>383</v>
      </c>
      <c r="B1" s="1670"/>
      <c r="C1" s="1670"/>
      <c r="D1" s="1670"/>
      <c r="E1" s="1670"/>
      <c r="F1" s="1670"/>
      <c r="G1" s="1670"/>
      <c r="H1" s="1670"/>
      <c r="I1" s="1670"/>
      <c r="J1" s="1670"/>
      <c r="K1" s="1670"/>
      <c r="L1" s="1670"/>
      <c r="M1" s="1670"/>
      <c r="N1" s="1667"/>
      <c r="O1" s="1667"/>
      <c r="P1" s="1667"/>
      <c r="Q1" s="1667"/>
      <c r="R1" s="1667"/>
      <c r="S1" s="1667"/>
      <c r="T1" s="1667"/>
      <c r="U1" s="1667"/>
      <c r="V1" s="1667"/>
      <c r="W1" s="1667"/>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1845"/>
      <c r="P3" s="1969"/>
      <c r="Q3" s="786"/>
      <c r="R3" s="237"/>
      <c r="S3" s="1792" t="s">
        <v>261</v>
      </c>
      <c r="T3" s="1793"/>
      <c r="U3" s="1793"/>
      <c r="V3" s="1793"/>
      <c r="W3" s="1793"/>
      <c r="X3" s="1793"/>
      <c r="Y3" s="1794"/>
      <c r="AA3" s="174" t="s">
        <v>250</v>
      </c>
      <c r="AB3" s="132"/>
    </row>
    <row r="4" spans="1:30" s="57" customFormat="1" ht="15.75" x14ac:dyDescent="0.2">
      <c r="A4" s="1379" t="s">
        <v>231</v>
      </c>
      <c r="B4" s="1380"/>
      <c r="C4" s="1380"/>
      <c r="D4" s="1335">
        <f>N1</f>
        <v>0</v>
      </c>
      <c r="E4" s="1336"/>
      <c r="F4" s="1808" t="s">
        <v>28</v>
      </c>
      <c r="G4" s="1537"/>
      <c r="H4" s="1537"/>
      <c r="I4" s="1538"/>
      <c r="J4" s="1540" t="s">
        <v>542</v>
      </c>
      <c r="K4" s="1540"/>
      <c r="L4" s="1540"/>
      <c r="M4" s="1540"/>
      <c r="N4" s="1541"/>
      <c r="O4" s="1383" t="s">
        <v>257</v>
      </c>
      <c r="P4" s="1383"/>
      <c r="Q4" s="209"/>
      <c r="R4" s="238"/>
      <c r="S4" s="1796" t="s">
        <v>236</v>
      </c>
      <c r="T4" s="1797"/>
      <c r="U4" s="1797"/>
      <c r="V4" s="1797"/>
      <c r="W4" s="1797"/>
      <c r="X4" s="1797"/>
      <c r="Y4" s="1798"/>
      <c r="AA4" s="271" t="s">
        <v>308</v>
      </c>
      <c r="AB4" s="269" t="s">
        <v>309</v>
      </c>
      <c r="AC4" s="269" t="s">
        <v>310</v>
      </c>
    </row>
    <row r="5" spans="1:30" s="57" customFormat="1" ht="15.75" x14ac:dyDescent="0.2">
      <c r="A5" s="1384" t="s">
        <v>4</v>
      </c>
      <c r="B5" s="1385"/>
      <c r="C5" s="1385"/>
      <c r="D5" s="1289"/>
      <c r="E5" s="1283"/>
      <c r="F5" s="1291" t="s">
        <v>244</v>
      </c>
      <c r="G5" s="1388"/>
      <c r="H5" s="1388"/>
      <c r="I5" s="1278"/>
      <c r="J5" s="1292" t="s">
        <v>377</v>
      </c>
      <c r="K5" s="1292"/>
      <c r="L5" s="1292"/>
      <c r="M5" s="1292"/>
      <c r="N5" s="1293"/>
      <c r="O5" s="1388" t="s">
        <v>22</v>
      </c>
      <c r="P5" s="1388"/>
      <c r="Q5" s="58">
        <v>0</v>
      </c>
      <c r="R5" s="238"/>
      <c r="S5" s="1789" t="s">
        <v>302</v>
      </c>
      <c r="T5" s="1790"/>
      <c r="U5" s="1790"/>
      <c r="V5" s="1790"/>
      <c r="W5" s="1790"/>
      <c r="X5" s="1790"/>
      <c r="Y5" s="1791"/>
      <c r="AA5" s="172" t="s">
        <v>31</v>
      </c>
      <c r="AB5" s="176">
        <f>SUMIF($G$16:$G$41,"STATE",$M$16:$M$41)</f>
        <v>79</v>
      </c>
      <c r="AC5" s="176">
        <f>SUMIF($G$16:$G$41,"STATE",$U$16:$U$41)</f>
        <v>0</v>
      </c>
    </row>
    <row r="6" spans="1:30" s="57" customFormat="1" ht="16.5" thickBot="1" x14ac:dyDescent="0.25">
      <c r="A6" s="1384" t="s">
        <v>12</v>
      </c>
      <c r="B6" s="1385"/>
      <c r="C6" s="1385"/>
      <c r="D6" s="1289"/>
      <c r="E6" s="1290"/>
      <c r="F6" s="1291" t="s">
        <v>20</v>
      </c>
      <c r="G6" s="1388"/>
      <c r="H6" s="1388"/>
      <c r="I6" s="1278"/>
      <c r="J6" s="1292" t="s">
        <v>317</v>
      </c>
      <c r="K6" s="1292"/>
      <c r="L6" s="1292"/>
      <c r="M6" s="1292"/>
      <c r="N6" s="1293"/>
      <c r="O6" s="1389" t="s">
        <v>233</v>
      </c>
      <c r="P6" s="1389"/>
      <c r="Q6" s="212">
        <f>Q4+Q5*10</f>
        <v>0</v>
      </c>
      <c r="R6" s="238"/>
      <c r="S6" s="1786" t="s">
        <v>573</v>
      </c>
      <c r="T6" s="1787"/>
      <c r="U6" s="1787"/>
      <c r="V6" s="1787"/>
      <c r="W6" s="1787"/>
      <c r="X6" s="1787"/>
      <c r="Y6" s="1788"/>
      <c r="AA6" s="172" t="s">
        <v>32</v>
      </c>
      <c r="AB6" s="176">
        <f>SUMIF($G$16:$G$41,"COUNTY",$M$16:$M$41)</f>
        <v>0</v>
      </c>
      <c r="AC6" s="176">
        <f>SUMIF($G$16:$G$41,"COUNTY",$U$16:$U$41)</f>
        <v>0</v>
      </c>
    </row>
    <row r="7" spans="1:30" s="57" customFormat="1" ht="16.5" thickBot="1" x14ac:dyDescent="0.25">
      <c r="A7" s="1384" t="s">
        <v>5</v>
      </c>
      <c r="B7" s="1385"/>
      <c r="C7" s="1385"/>
      <c r="D7" s="1282"/>
      <c r="E7" s="1283"/>
      <c r="F7" s="1811" t="s">
        <v>21</v>
      </c>
      <c r="G7" s="1543"/>
      <c r="H7" s="1543"/>
      <c r="I7" s="1544"/>
      <c r="J7" s="1810" t="s">
        <v>3</v>
      </c>
      <c r="K7" s="1810"/>
      <c r="L7" s="1810"/>
      <c r="M7" s="1810"/>
      <c r="N7" s="1674"/>
      <c r="O7" s="235"/>
      <c r="P7" s="242"/>
      <c r="Q7" s="236"/>
      <c r="R7" s="238"/>
      <c r="S7" s="1778" t="s">
        <v>235</v>
      </c>
      <c r="T7" s="1779"/>
      <c r="U7" s="1779"/>
      <c r="V7" s="1779"/>
      <c r="W7" s="1779"/>
      <c r="X7" s="1779"/>
      <c r="Y7" s="1780"/>
      <c r="AA7" s="172" t="s">
        <v>52</v>
      </c>
      <c r="AB7" s="176">
        <f>SUMIF($G$16:$G$41,"CITY",$M$16:$M$41)</f>
        <v>0</v>
      </c>
      <c r="AC7" s="176">
        <f>SUMIF($G$16:$G$41,"CITY",$U$16:$U$41)</f>
        <v>0</v>
      </c>
    </row>
    <row r="8" spans="1:30" s="57" customFormat="1" ht="15.75" customHeight="1" x14ac:dyDescent="0.2">
      <c r="A8" s="1394" t="s">
        <v>54</v>
      </c>
      <c r="B8" s="1395"/>
      <c r="C8" s="1395"/>
      <c r="D8" s="1781">
        <v>1</v>
      </c>
      <c r="E8" s="1809"/>
      <c r="F8" s="1332" t="s">
        <v>253</v>
      </c>
      <c r="G8" s="1333"/>
      <c r="H8" s="1333"/>
      <c r="I8" s="1334"/>
      <c r="J8" s="1540"/>
      <c r="K8" s="1540"/>
      <c r="L8" s="1540"/>
      <c r="M8" s="1540"/>
      <c r="N8" s="1541"/>
      <c r="O8" s="1333" t="s">
        <v>257</v>
      </c>
      <c r="P8" s="1333"/>
      <c r="Q8" s="55">
        <v>0</v>
      </c>
      <c r="R8" s="239"/>
      <c r="S8" s="1772" t="s">
        <v>303</v>
      </c>
      <c r="T8" s="1726"/>
      <c r="U8" s="1726"/>
      <c r="V8" s="1726"/>
      <c r="W8" s="1726"/>
      <c r="X8" s="1726"/>
      <c r="Y8" s="1773"/>
      <c r="AA8" s="172" t="s">
        <v>230</v>
      </c>
      <c r="AB8" s="176">
        <f>SUMIF($G$16:$G$41,"COURT",$M$16:$M$41)</f>
        <v>0</v>
      </c>
      <c r="AC8" s="176">
        <f>SUMIF($G$16:$G$41,"COURT",$U$16:$U$41)</f>
        <v>0</v>
      </c>
    </row>
    <row r="9" spans="1:30" s="57" customFormat="1" ht="18" customHeight="1" thickBot="1" x14ac:dyDescent="0.25">
      <c r="A9" s="1402" t="s">
        <v>53</v>
      </c>
      <c r="B9" s="1403"/>
      <c r="C9" s="1403"/>
      <c r="D9" s="1404">
        <f>100%-D8</f>
        <v>0</v>
      </c>
      <c r="E9" s="1405"/>
      <c r="F9" s="1291" t="s">
        <v>244</v>
      </c>
      <c r="G9" s="1388"/>
      <c r="H9" s="1388"/>
      <c r="I9" s="1278"/>
      <c r="J9" s="1292"/>
      <c r="K9" s="1292"/>
      <c r="L9" s="1292"/>
      <c r="M9" s="1292"/>
      <c r="N9" s="1293"/>
      <c r="O9" s="1388" t="s">
        <v>22</v>
      </c>
      <c r="P9" s="1388"/>
      <c r="Q9" s="58"/>
      <c r="R9" s="239"/>
      <c r="S9" s="1774"/>
      <c r="T9" s="1729"/>
      <c r="U9" s="1729"/>
      <c r="V9" s="1729"/>
      <c r="W9" s="1729"/>
      <c r="X9" s="1729"/>
      <c r="Y9" s="1775"/>
      <c r="AA9" s="153" t="s">
        <v>446</v>
      </c>
      <c r="AB9" s="176">
        <f>SUMIF($G$16:$G$41,"CNTY or CTY",$M$16:$M$41)</f>
        <v>0</v>
      </c>
      <c r="AC9" s="176">
        <f>SUMIF($G$16:$G$41,"CNTY or CTY",$U$16:$U$41)</f>
        <v>0</v>
      </c>
    </row>
    <row r="10" spans="1:30" s="57" customFormat="1" ht="16.5" customHeight="1" thickBot="1" x14ac:dyDescent="0.25">
      <c r="A10" s="1436" t="s">
        <v>276</v>
      </c>
      <c r="B10" s="1437"/>
      <c r="C10" s="1437"/>
      <c r="D10" s="1651">
        <f>Q6+Q10</f>
        <v>0</v>
      </c>
      <c r="E10" s="1652"/>
      <c r="F10" s="1291" t="s">
        <v>20</v>
      </c>
      <c r="G10" s="1388"/>
      <c r="H10" s="1388"/>
      <c r="I10" s="1278"/>
      <c r="J10" s="1292"/>
      <c r="K10" s="1292"/>
      <c r="L10" s="1292"/>
      <c r="M10" s="1292"/>
      <c r="N10" s="1293"/>
      <c r="O10" s="1389" t="s">
        <v>233</v>
      </c>
      <c r="P10" s="1389"/>
      <c r="Q10" s="212">
        <f>Q8+Q9*10</f>
        <v>0</v>
      </c>
      <c r="R10" s="240"/>
      <c r="S10" s="1769" t="s">
        <v>239</v>
      </c>
      <c r="T10" s="1770"/>
      <c r="U10" s="1770"/>
      <c r="V10" s="1770"/>
      <c r="W10" s="1770"/>
      <c r="X10" s="1770"/>
      <c r="Y10" s="1771"/>
      <c r="AA10" s="592" t="s">
        <v>246</v>
      </c>
      <c r="AB10" s="148">
        <f>SUM(AB5:AB9)</f>
        <v>79</v>
      </c>
      <c r="AC10" s="148">
        <f>SUM(AC5:AC9)</f>
        <v>0</v>
      </c>
    </row>
    <row r="11" spans="1:30" s="57" customFormat="1" ht="16.5" customHeight="1" thickBot="1" x14ac:dyDescent="0.25">
      <c r="A11" s="1439" t="s">
        <v>277</v>
      </c>
      <c r="B11" s="1440"/>
      <c r="C11" s="1440"/>
      <c r="D11" s="1649">
        <f>ROUNDUP(D10/10,0)</f>
        <v>0</v>
      </c>
      <c r="E11" s="1650"/>
      <c r="F11" s="1284" t="s">
        <v>21</v>
      </c>
      <c r="G11" s="1553"/>
      <c r="H11" s="1553"/>
      <c r="I11" s="1285"/>
      <c r="J11" s="1286"/>
      <c r="K11" s="1287"/>
      <c r="L11" s="1287"/>
      <c r="M11" s="1287"/>
      <c r="N11" s="1288"/>
      <c r="O11" s="1400" t="s">
        <v>568</v>
      </c>
      <c r="P11" s="1847"/>
      <c r="Q11" s="780">
        <f>'1-DUI (Reduce Base)'!P11</f>
        <v>5</v>
      </c>
      <c r="R11" s="781"/>
      <c r="S11" s="1755" t="s">
        <v>430</v>
      </c>
      <c r="T11" s="1756"/>
      <c r="U11" s="1756"/>
      <c r="V11" s="1756"/>
      <c r="W11" s="1756"/>
      <c r="X11" s="1756"/>
      <c r="Y11" s="1757"/>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758" t="s">
        <v>297</v>
      </c>
      <c r="L13" s="1759"/>
      <c r="M13" s="1759"/>
      <c r="N13" s="110"/>
      <c r="O13" s="1761" t="s">
        <v>229</v>
      </c>
      <c r="P13" s="1762"/>
      <c r="Q13" s="1763"/>
      <c r="R13" s="111"/>
      <c r="S13" s="1764" t="s">
        <v>295</v>
      </c>
      <c r="T13" s="1765"/>
      <c r="U13" s="1766"/>
      <c r="V13" s="226"/>
      <c r="W13" s="158"/>
      <c r="X13" s="158"/>
      <c r="Y13" s="159"/>
      <c r="Z13" s="108"/>
      <c r="AA13" s="108"/>
      <c r="AB13" s="108"/>
      <c r="AC13" s="108"/>
      <c r="AD13" s="108"/>
    </row>
    <row r="14" spans="1:30" ht="44.25" customHeight="1" thickBot="1" x14ac:dyDescent="0.25">
      <c r="A14" s="601">
        <v>0.02</v>
      </c>
      <c r="B14" s="601" t="s">
        <v>58</v>
      </c>
      <c r="C14" s="1364" t="s">
        <v>226</v>
      </c>
      <c r="D14" s="1365"/>
      <c r="E14" s="1365"/>
      <c r="F14" s="1366"/>
      <c r="G14" s="599" t="s">
        <v>249</v>
      </c>
      <c r="H14" s="114" t="s">
        <v>0</v>
      </c>
      <c r="I14" s="1805" t="s">
        <v>298</v>
      </c>
      <c r="J14" s="1803" t="s">
        <v>275</v>
      </c>
      <c r="K14" s="1805" t="s">
        <v>315</v>
      </c>
      <c r="L14" s="1747" t="s">
        <v>6</v>
      </c>
      <c r="M14" s="598" t="s">
        <v>299</v>
      </c>
      <c r="N14" s="67"/>
      <c r="O14" s="1716" t="s">
        <v>260</v>
      </c>
      <c r="P14" s="1717"/>
      <c r="Q14" s="597" t="s">
        <v>248</v>
      </c>
      <c r="R14" s="121"/>
      <c r="S14" s="690" t="s">
        <v>428</v>
      </c>
      <c r="T14" s="1747" t="s">
        <v>6</v>
      </c>
      <c r="U14" s="598" t="s">
        <v>299</v>
      </c>
      <c r="V14" s="228"/>
      <c r="W14" s="591" t="s">
        <v>256</v>
      </c>
      <c r="X14" s="1749" t="s">
        <v>61</v>
      </c>
      <c r="Y14" s="1751" t="s">
        <v>384</v>
      </c>
    </row>
    <row r="15" spans="1:30" ht="30.75" customHeight="1" thickBot="1" x14ac:dyDescent="0.25">
      <c r="A15" s="602"/>
      <c r="B15" s="602"/>
      <c r="C15" s="1367"/>
      <c r="D15" s="1368"/>
      <c r="E15" s="1368"/>
      <c r="F15" s="1369"/>
      <c r="G15" s="600"/>
      <c r="H15" s="600"/>
      <c r="I15" s="1806"/>
      <c r="J15" s="1804"/>
      <c r="K15" s="1806"/>
      <c r="L15" s="1748"/>
      <c r="M15" s="244" t="s">
        <v>42</v>
      </c>
      <c r="N15" s="68"/>
      <c r="O15" s="1714"/>
      <c r="P15" s="1715"/>
      <c r="Q15" s="245" t="s">
        <v>43</v>
      </c>
      <c r="R15" s="121"/>
      <c r="S15" s="246" t="e">
        <f>(S35-S31)/(K35-K31)</f>
        <v>#DIV/0!</v>
      </c>
      <c r="T15" s="1748"/>
      <c r="U15" s="244" t="s">
        <v>44</v>
      </c>
      <c r="V15" s="228"/>
      <c r="W15" s="298" t="s">
        <v>300</v>
      </c>
      <c r="X15" s="1750"/>
      <c r="Y15" s="1752"/>
    </row>
    <row r="16" spans="1:30" s="74" customFormat="1" ht="15.75" hidden="1" customHeight="1" thickTop="1" x14ac:dyDescent="0.2">
      <c r="A16" s="69" t="s">
        <v>8</v>
      </c>
      <c r="B16" s="195"/>
      <c r="C16" s="1692"/>
      <c r="D16" s="1692"/>
      <c r="E16" s="1692"/>
      <c r="F16" s="1692"/>
      <c r="G16" s="70"/>
      <c r="H16" s="71"/>
      <c r="I16" s="154"/>
      <c r="J16" s="162"/>
      <c r="K16" s="162"/>
      <c r="L16" s="162"/>
      <c r="M16" s="198"/>
      <c r="N16" s="164"/>
      <c r="O16" s="1731"/>
      <c r="P16" s="1732"/>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665"/>
      <c r="D17" s="1700"/>
      <c r="E17" s="1700"/>
      <c r="F17" s="1701"/>
      <c r="G17" s="76"/>
      <c r="H17" s="77"/>
      <c r="I17" s="156"/>
      <c r="J17" s="162"/>
      <c r="K17" s="162"/>
      <c r="L17" s="162"/>
      <c r="M17" s="167"/>
      <c r="N17" s="164"/>
      <c r="O17" s="1665"/>
      <c r="P17" s="1666"/>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692" t="s">
        <v>274</v>
      </c>
      <c r="D18" s="1692"/>
      <c r="E18" s="1692"/>
      <c r="F18" s="1692"/>
      <c r="G18" s="701" t="str">
        <f>IF(D9=0,"COUNTY","CITY")</f>
        <v>COUNTY</v>
      </c>
      <c r="H18" s="77" t="s">
        <v>51</v>
      </c>
      <c r="I18" s="156"/>
      <c r="J18" s="162"/>
      <c r="K18" s="162">
        <f>J42</f>
        <v>0</v>
      </c>
      <c r="L18" s="162">
        <f t="shared" ref="L18:L24" si="0">IF(A18="Y", K18*2%,0)</f>
        <v>0</v>
      </c>
      <c r="M18" s="167">
        <f t="shared" ref="M18:M24" si="1">K18-L18</f>
        <v>0</v>
      </c>
      <c r="N18" s="164"/>
      <c r="O18" s="1665"/>
      <c r="P18" s="1666"/>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801" t="s">
        <v>241</v>
      </c>
      <c r="C19" s="1659" t="s">
        <v>212</v>
      </c>
      <c r="D19" s="1659"/>
      <c r="E19" s="1659"/>
      <c r="F19" s="1659"/>
      <c r="G19" s="694" t="s">
        <v>32</v>
      </c>
      <c r="H19" s="77" t="s">
        <v>27</v>
      </c>
      <c r="I19" s="155">
        <f>(D10-SUM(I16:I18))*D8</f>
        <v>0</v>
      </c>
      <c r="J19" s="162"/>
      <c r="K19" s="162">
        <f t="shared" ref="K19:K24" si="6">I19-J19</f>
        <v>0</v>
      </c>
      <c r="L19" s="162">
        <f t="shared" si="0"/>
        <v>0</v>
      </c>
      <c r="M19" s="167">
        <f t="shared" si="1"/>
        <v>0</v>
      </c>
      <c r="N19" s="164"/>
      <c r="O19" s="1665"/>
      <c r="P19" s="1666"/>
      <c r="Q19" s="78"/>
      <c r="R19" s="72"/>
      <c r="S19" s="160">
        <f t="shared" si="2"/>
        <v>0</v>
      </c>
      <c r="T19" s="162">
        <f t="shared" si="3"/>
        <v>0</v>
      </c>
      <c r="U19" s="167">
        <f t="shared" si="4"/>
        <v>0</v>
      </c>
      <c r="V19" s="229"/>
      <c r="W19" s="181">
        <f t="shared" si="5"/>
        <v>0</v>
      </c>
      <c r="X19" s="651"/>
      <c r="Y19" s="517"/>
      <c r="Z19" s="1556"/>
      <c r="AA19" s="125"/>
      <c r="AB19" s="125"/>
      <c r="AC19" s="125"/>
      <c r="AD19" s="125"/>
    </row>
    <row r="20" spans="1:30" s="74" customFormat="1" ht="20.25" customHeight="1" x14ac:dyDescent="0.2">
      <c r="A20" s="69" t="s">
        <v>8</v>
      </c>
      <c r="B20" s="1802"/>
      <c r="C20" s="1659" t="s">
        <v>213</v>
      </c>
      <c r="D20" s="1659"/>
      <c r="E20" s="1659"/>
      <c r="F20" s="1659"/>
      <c r="G20" s="694" t="s">
        <v>52</v>
      </c>
      <c r="H20" s="77" t="s">
        <v>25</v>
      </c>
      <c r="I20" s="155">
        <f>(D10-SUM(I16:I18))*D9</f>
        <v>0</v>
      </c>
      <c r="J20" s="162"/>
      <c r="K20" s="162">
        <f t="shared" si="6"/>
        <v>0</v>
      </c>
      <c r="L20" s="162">
        <f t="shared" si="0"/>
        <v>0</v>
      </c>
      <c r="M20" s="167">
        <f t="shared" si="1"/>
        <v>0</v>
      </c>
      <c r="N20" s="164"/>
      <c r="O20" s="1665"/>
      <c r="P20" s="1666"/>
      <c r="Q20" s="78"/>
      <c r="R20" s="72"/>
      <c r="S20" s="160">
        <f t="shared" si="2"/>
        <v>0</v>
      </c>
      <c r="T20" s="162">
        <f t="shared" si="3"/>
        <v>0</v>
      </c>
      <c r="U20" s="167">
        <f t="shared" si="4"/>
        <v>0</v>
      </c>
      <c r="V20" s="229"/>
      <c r="W20" s="181">
        <f t="shared" si="5"/>
        <v>0</v>
      </c>
      <c r="X20" s="651"/>
      <c r="Y20" s="517"/>
      <c r="Z20" s="1556"/>
      <c r="AA20" s="125"/>
      <c r="AB20" s="125"/>
      <c r="AC20" s="125"/>
      <c r="AD20" s="125"/>
    </row>
    <row r="21" spans="1:30" s="74" customFormat="1" ht="15.75" customHeight="1" x14ac:dyDescent="0.2">
      <c r="A21" s="69" t="s">
        <v>8</v>
      </c>
      <c r="B21" s="75">
        <v>7</v>
      </c>
      <c r="C21" s="1659" t="s">
        <v>546</v>
      </c>
      <c r="D21" s="1659"/>
      <c r="E21" s="1659"/>
      <c r="F21" s="1659"/>
      <c r="G21" s="694" t="s">
        <v>31</v>
      </c>
      <c r="H21" s="77" t="s">
        <v>26</v>
      </c>
      <c r="I21" s="155">
        <f>$D$11*B21</f>
        <v>0</v>
      </c>
      <c r="J21" s="162"/>
      <c r="K21" s="162">
        <f t="shared" si="6"/>
        <v>0</v>
      </c>
      <c r="L21" s="162">
        <f t="shared" si="0"/>
        <v>0</v>
      </c>
      <c r="M21" s="167">
        <f t="shared" si="1"/>
        <v>0</v>
      </c>
      <c r="N21" s="164"/>
      <c r="O21" s="1665"/>
      <c r="P21" s="1666"/>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659" t="s">
        <v>547</v>
      </c>
      <c r="D22" s="1659"/>
      <c r="E22" s="1659"/>
      <c r="F22" s="1659"/>
      <c r="G22" s="694" t="s">
        <v>32</v>
      </c>
      <c r="H22" s="77" t="s">
        <v>27</v>
      </c>
      <c r="I22" s="155">
        <f>$D$11*B22</f>
        <v>0</v>
      </c>
      <c r="J22" s="162"/>
      <c r="K22" s="162">
        <f t="shared" si="6"/>
        <v>0</v>
      </c>
      <c r="L22" s="162">
        <f t="shared" si="0"/>
        <v>0</v>
      </c>
      <c r="M22" s="167">
        <f t="shared" si="1"/>
        <v>0</v>
      </c>
      <c r="N22" s="164"/>
      <c r="O22" s="1665"/>
      <c r="P22" s="1666"/>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665" t="s">
        <v>216</v>
      </c>
      <c r="D23" s="1700"/>
      <c r="E23" s="1700"/>
      <c r="F23" s="1701"/>
      <c r="G23" s="694" t="s">
        <v>32</v>
      </c>
      <c r="H23" s="77" t="s">
        <v>55</v>
      </c>
      <c r="I23" s="155">
        <f>$D$11*B23</f>
        <v>0</v>
      </c>
      <c r="J23" s="162"/>
      <c r="K23" s="162">
        <f t="shared" si="6"/>
        <v>0</v>
      </c>
      <c r="L23" s="162">
        <f t="shared" si="0"/>
        <v>0</v>
      </c>
      <c r="M23" s="167">
        <f t="shared" si="1"/>
        <v>0</v>
      </c>
      <c r="N23" s="164"/>
      <c r="O23" s="1665"/>
      <c r="P23" s="1666"/>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665" t="s">
        <v>466</v>
      </c>
      <c r="D24" s="1700"/>
      <c r="E24" s="1700"/>
      <c r="F24" s="1701"/>
      <c r="G24" s="694" t="s">
        <v>31</v>
      </c>
      <c r="H24" s="77" t="s">
        <v>72</v>
      </c>
      <c r="I24" s="155">
        <f>$D$11*B24</f>
        <v>0</v>
      </c>
      <c r="J24" s="162"/>
      <c r="K24" s="162">
        <f t="shared" si="6"/>
        <v>0</v>
      </c>
      <c r="L24" s="162">
        <f t="shared" si="0"/>
        <v>0</v>
      </c>
      <c r="M24" s="167">
        <f t="shared" si="1"/>
        <v>0</v>
      </c>
      <c r="N24" s="164"/>
      <c r="O24" s="1665"/>
      <c r="P24" s="1666"/>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659" t="s">
        <v>217</v>
      </c>
      <c r="D25" s="1659"/>
      <c r="E25" s="1739" t="str">
        <f>IF(SUM(B25:B29)=Q11,"GC 76000 PA ($" &amp;Q11 &amp; " for every 10) breakdown per local board of supervisor resolution (BOS).","ERROR! GC 76000 PA total is not $" &amp;Q11&amp; ". Check Court's board resolution.")</f>
        <v>ERROR! GC 76000 PA total is not $5. Check Court's board resolution.</v>
      </c>
      <c r="F25" s="1740"/>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665"/>
      <c r="P25" s="1666"/>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659" t="s">
        <v>218</v>
      </c>
      <c r="D26" s="1659"/>
      <c r="E26" s="1741"/>
      <c r="F26" s="1742"/>
      <c r="G26" s="694" t="s">
        <v>32</v>
      </c>
      <c r="H26" s="77" t="s">
        <v>35</v>
      </c>
      <c r="I26" s="155">
        <f t="shared" si="7"/>
        <v>0</v>
      </c>
      <c r="J26" s="162"/>
      <c r="K26" s="162">
        <f t="shared" si="8"/>
        <v>0</v>
      </c>
      <c r="L26" s="162">
        <f t="shared" si="9"/>
        <v>0</v>
      </c>
      <c r="M26" s="167">
        <f t="shared" si="10"/>
        <v>0</v>
      </c>
      <c r="N26" s="164"/>
      <c r="O26" s="1665"/>
      <c r="P26" s="1666"/>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659" t="s">
        <v>219</v>
      </c>
      <c r="D27" s="1659"/>
      <c r="E27" s="1741"/>
      <c r="F27" s="1742"/>
      <c r="G27" s="694" t="s">
        <v>32</v>
      </c>
      <c r="H27" s="77" t="s">
        <v>65</v>
      </c>
      <c r="I27" s="155">
        <f t="shared" si="7"/>
        <v>0</v>
      </c>
      <c r="J27" s="162"/>
      <c r="K27" s="162">
        <f t="shared" si="8"/>
        <v>0</v>
      </c>
      <c r="L27" s="162">
        <f t="shared" si="9"/>
        <v>0</v>
      </c>
      <c r="M27" s="167">
        <f t="shared" si="10"/>
        <v>0</v>
      </c>
      <c r="N27" s="164"/>
      <c r="O27" s="1665"/>
      <c r="P27" s="1666"/>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659" t="s">
        <v>401</v>
      </c>
      <c r="D28" s="1659"/>
      <c r="E28" s="1741"/>
      <c r="F28" s="1742"/>
      <c r="G28" s="694" t="s">
        <v>32</v>
      </c>
      <c r="H28" s="77" t="s">
        <v>65</v>
      </c>
      <c r="I28" s="155">
        <f>$D$11*B28</f>
        <v>0</v>
      </c>
      <c r="J28" s="162"/>
      <c r="K28" s="162">
        <f>I28-J28</f>
        <v>0</v>
      </c>
      <c r="L28" s="162">
        <f>IF(A28="Y", K28*2%,0)</f>
        <v>0</v>
      </c>
      <c r="M28" s="167">
        <f>K28-L28</f>
        <v>0</v>
      </c>
      <c r="N28" s="164"/>
      <c r="O28" s="1665"/>
      <c r="P28" s="1666"/>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659" t="s">
        <v>254</v>
      </c>
      <c r="D29" s="1659"/>
      <c r="E29" s="1743"/>
      <c r="F29" s="1744"/>
      <c r="G29" s="694" t="s">
        <v>32</v>
      </c>
      <c r="H29" s="77"/>
      <c r="I29" s="155">
        <f t="shared" si="7"/>
        <v>0</v>
      </c>
      <c r="J29" s="162"/>
      <c r="K29" s="162">
        <f t="shared" si="8"/>
        <v>0</v>
      </c>
      <c r="L29" s="162">
        <f t="shared" si="9"/>
        <v>0</v>
      </c>
      <c r="M29" s="167">
        <f t="shared" si="10"/>
        <v>0</v>
      </c>
      <c r="N29" s="164"/>
      <c r="O29" s="1665"/>
      <c r="P29" s="1666"/>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449" t="s">
        <v>286</v>
      </c>
      <c r="D30" s="1459"/>
      <c r="E30" s="1459"/>
      <c r="F30" s="1460"/>
      <c r="G30" s="702" t="s">
        <v>32</v>
      </c>
      <c r="H30" s="84" t="s">
        <v>36</v>
      </c>
      <c r="I30" s="155">
        <f t="shared" si="7"/>
        <v>0</v>
      </c>
      <c r="J30" s="162"/>
      <c r="K30" s="162">
        <f t="shared" si="8"/>
        <v>0</v>
      </c>
      <c r="L30" s="162">
        <f t="shared" si="9"/>
        <v>0</v>
      </c>
      <c r="M30" s="167">
        <f t="shared" si="10"/>
        <v>0</v>
      </c>
      <c r="N30" s="164"/>
      <c r="O30" s="1665"/>
      <c r="P30" s="1666"/>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49" t="s">
        <v>385</v>
      </c>
      <c r="D31" s="1459"/>
      <c r="E31" s="1459"/>
      <c r="F31" s="1460"/>
      <c r="G31" s="702" t="s">
        <v>31</v>
      </c>
      <c r="H31" s="91" t="s">
        <v>39</v>
      </c>
      <c r="I31" s="204">
        <v>4</v>
      </c>
      <c r="J31" s="162"/>
      <c r="K31" s="162">
        <f>I31-J31</f>
        <v>4</v>
      </c>
      <c r="L31" s="162">
        <f>IF(A31="Y", K31*2%,0)</f>
        <v>0.08</v>
      </c>
      <c r="M31" s="167">
        <f>K31-L31</f>
        <v>3.92</v>
      </c>
      <c r="N31" s="164"/>
      <c r="O31" s="1665"/>
      <c r="P31" s="1666"/>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449" t="s">
        <v>555</v>
      </c>
      <c r="D32" s="1459"/>
      <c r="E32" s="1460"/>
      <c r="F32" s="1591" t="s">
        <v>281</v>
      </c>
      <c r="G32" s="702" t="s">
        <v>31</v>
      </c>
      <c r="H32" s="84" t="s">
        <v>37</v>
      </c>
      <c r="I32" s="155">
        <f>$D$11*B32</f>
        <v>0</v>
      </c>
      <c r="J32" s="162"/>
      <c r="K32" s="162">
        <f>I32-J32</f>
        <v>0</v>
      </c>
      <c r="L32" s="162">
        <f>IF(A32="Y", K32*2%,0)</f>
        <v>0</v>
      </c>
      <c r="M32" s="167">
        <f>K32-L32</f>
        <v>0</v>
      </c>
      <c r="N32" s="164"/>
      <c r="O32" s="1665"/>
      <c r="P32" s="1666"/>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49" t="s">
        <v>556</v>
      </c>
      <c r="D33" s="1459"/>
      <c r="E33" s="1460"/>
      <c r="F33" s="1592"/>
      <c r="G33" s="702" t="s">
        <v>31</v>
      </c>
      <c r="H33" s="84" t="s">
        <v>197</v>
      </c>
      <c r="I33" s="155">
        <f t="shared" si="7"/>
        <v>0</v>
      </c>
      <c r="J33" s="162"/>
      <c r="K33" s="162">
        <f t="shared" si="8"/>
        <v>0</v>
      </c>
      <c r="L33" s="162">
        <f t="shared" si="9"/>
        <v>0</v>
      </c>
      <c r="M33" s="167">
        <f t="shared" si="10"/>
        <v>0</v>
      </c>
      <c r="N33" s="164"/>
      <c r="O33" s="1665"/>
      <c r="P33" s="1666"/>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49" t="s">
        <v>220</v>
      </c>
      <c r="D34" s="1459"/>
      <c r="E34" s="1459"/>
      <c r="F34" s="1460"/>
      <c r="G34" s="702" t="s">
        <v>31</v>
      </c>
      <c r="H34" s="84" t="s">
        <v>10</v>
      </c>
      <c r="I34" s="155">
        <f>$D$10*20%</f>
        <v>0</v>
      </c>
      <c r="J34" s="162"/>
      <c r="K34" s="162">
        <f>I34-J34</f>
        <v>0</v>
      </c>
      <c r="L34" s="162">
        <f t="shared" si="9"/>
        <v>0</v>
      </c>
      <c r="M34" s="167">
        <f>I34-L34</f>
        <v>0</v>
      </c>
      <c r="N34" s="164"/>
      <c r="O34" s="1665"/>
      <c r="P34" s="1666"/>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456" t="s">
        <v>221</v>
      </c>
      <c r="D35" s="1694"/>
      <c r="E35" s="1694"/>
      <c r="F35" s="1695"/>
      <c r="G35" s="703"/>
      <c r="H35" s="88"/>
      <c r="I35" s="157">
        <f>SUM(I16:I34)</f>
        <v>4</v>
      </c>
      <c r="J35" s="277"/>
      <c r="K35" s="277">
        <f>SUM(K18:K34)</f>
        <v>4</v>
      </c>
      <c r="L35" s="162"/>
      <c r="M35" s="168">
        <f>SUM(M16:M34)</f>
        <v>3.92</v>
      </c>
      <c r="N35" s="165"/>
      <c r="O35" s="1449"/>
      <c r="P35" s="1699"/>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449" t="s">
        <v>419</v>
      </c>
      <c r="D36" s="1459"/>
      <c r="E36" s="1459"/>
      <c r="F36" s="1460"/>
      <c r="G36" s="702" t="s">
        <v>31</v>
      </c>
      <c r="H36" s="91"/>
      <c r="I36" s="204">
        <v>40</v>
      </c>
      <c r="J36" s="162"/>
      <c r="K36" s="162">
        <f>I36</f>
        <v>40</v>
      </c>
      <c r="L36" s="162">
        <f t="shared" ref="L36:L40" si="11">IF(A36="Y", I36*2%,0)</f>
        <v>0</v>
      </c>
      <c r="M36" s="167">
        <f t="shared" ref="M36:M40" si="12">I36-L36</f>
        <v>40</v>
      </c>
      <c r="N36" s="164"/>
      <c r="O36" s="1665"/>
      <c r="P36" s="1666"/>
      <c r="Q36" s="78"/>
      <c r="R36" s="72"/>
      <c r="S36" s="155">
        <f>IF($S$43=0,,I36)</f>
        <v>0</v>
      </c>
      <c r="T36" s="162">
        <f t="shared" ref="T36" si="13">IF(A36="Y", S36*2%,)</f>
        <v>0</v>
      </c>
      <c r="U36" s="167">
        <f t="shared" ref="U36" si="14">S36-T36</f>
        <v>0</v>
      </c>
      <c r="V36" s="229"/>
      <c r="W36" s="181">
        <f t="shared" ref="W36:W41" si="15">IF($W$15="BASE-UP   (B-A)", Q36-M36,Q36-U36)</f>
        <v>-40</v>
      </c>
      <c r="X36" s="651"/>
      <c r="Y36" s="518"/>
      <c r="Z36" s="127"/>
      <c r="AA36" s="127"/>
      <c r="AB36" s="127"/>
      <c r="AC36" s="127"/>
      <c r="AD36" s="127"/>
    </row>
    <row r="37" spans="1:30" s="85" customFormat="1" ht="15.75" customHeight="1" x14ac:dyDescent="0.2">
      <c r="A37" s="69" t="s">
        <v>7</v>
      </c>
      <c r="B37" s="75"/>
      <c r="C37" s="1446" t="s">
        <v>259</v>
      </c>
      <c r="D37" s="1447"/>
      <c r="E37" s="1447"/>
      <c r="F37" s="1448"/>
      <c r="G37" s="704" t="s">
        <v>31</v>
      </c>
      <c r="H37" s="92" t="s">
        <v>197</v>
      </c>
      <c r="I37" s="204">
        <v>35</v>
      </c>
      <c r="J37" s="162"/>
      <c r="K37" s="162">
        <f t="shared" ref="K37:K40" si="16">I37</f>
        <v>35</v>
      </c>
      <c r="L37" s="162">
        <f t="shared" si="11"/>
        <v>0</v>
      </c>
      <c r="M37" s="167">
        <f t="shared" si="12"/>
        <v>35</v>
      </c>
      <c r="N37" s="164"/>
      <c r="O37" s="1665"/>
      <c r="P37" s="1666"/>
      <c r="Q37" s="78"/>
      <c r="R37" s="72"/>
      <c r="S37" s="155">
        <f>IF($S$43=0,,I37)</f>
        <v>0</v>
      </c>
      <c r="T37" s="162">
        <f t="shared" ref="T37:T40" si="17">IF(A37="Y", S37*2%,)</f>
        <v>0</v>
      </c>
      <c r="U37" s="167">
        <f t="shared" si="4"/>
        <v>0</v>
      </c>
      <c r="V37" s="229"/>
      <c r="W37" s="181">
        <f t="shared" si="15"/>
        <v>-35</v>
      </c>
      <c r="X37" s="651"/>
      <c r="Y37" s="516"/>
      <c r="Z37" s="127"/>
      <c r="AA37" s="127"/>
      <c r="AB37" s="127"/>
      <c r="AC37" s="127"/>
      <c r="AD37" s="127"/>
    </row>
    <row r="38" spans="1:30" s="74" customFormat="1" ht="15.75" customHeight="1" x14ac:dyDescent="0.2">
      <c r="A38" s="69" t="s">
        <v>7</v>
      </c>
      <c r="B38" s="94"/>
      <c r="C38" s="1446" t="s">
        <v>421</v>
      </c>
      <c r="D38" s="1447"/>
      <c r="E38" s="1447"/>
      <c r="F38" s="1448"/>
      <c r="G38" s="704" t="s">
        <v>230</v>
      </c>
      <c r="H38" s="92" t="s">
        <v>24</v>
      </c>
      <c r="I38" s="204"/>
      <c r="J38" s="162"/>
      <c r="K38" s="162">
        <f t="shared" si="16"/>
        <v>0</v>
      </c>
      <c r="L38" s="162">
        <f t="shared" si="11"/>
        <v>0</v>
      </c>
      <c r="M38" s="167">
        <f t="shared" si="12"/>
        <v>0</v>
      </c>
      <c r="N38" s="164"/>
      <c r="O38" s="1665"/>
      <c r="P38" s="1666"/>
      <c r="Q38" s="78"/>
      <c r="R38" s="72"/>
      <c r="S38" s="155">
        <f>IF($S$43=0,,I38)</f>
        <v>0</v>
      </c>
      <c r="T38" s="162">
        <f t="shared" si="17"/>
        <v>0</v>
      </c>
      <c r="U38" s="167">
        <f t="shared" si="4"/>
        <v>0</v>
      </c>
      <c r="V38" s="229"/>
      <c r="W38" s="181">
        <f t="shared" si="15"/>
        <v>0</v>
      </c>
      <c r="X38" s="651"/>
      <c r="Y38" s="516"/>
      <c r="Z38" s="125"/>
      <c r="AA38" s="125"/>
      <c r="AB38" s="125"/>
      <c r="AC38" s="125"/>
      <c r="AD38" s="125"/>
    </row>
    <row r="39" spans="1:30" s="74" customFormat="1" ht="45" customHeight="1" x14ac:dyDescent="0.2">
      <c r="A39" s="69" t="s">
        <v>7</v>
      </c>
      <c r="B39" s="94"/>
      <c r="C39" s="1449" t="s">
        <v>517</v>
      </c>
      <c r="D39" s="1459"/>
      <c r="E39" s="1459"/>
      <c r="F39" s="1460"/>
      <c r="G39" s="704" t="s">
        <v>230</v>
      </c>
      <c r="H39" s="92" t="s">
        <v>82</v>
      </c>
      <c r="I39" s="204"/>
      <c r="J39" s="162"/>
      <c r="K39" s="162">
        <f t="shared" si="16"/>
        <v>0</v>
      </c>
      <c r="L39" s="162">
        <f t="shared" si="11"/>
        <v>0</v>
      </c>
      <c r="M39" s="167">
        <f t="shared" si="12"/>
        <v>0</v>
      </c>
      <c r="N39" s="164"/>
      <c r="O39" s="1665"/>
      <c r="P39" s="1666"/>
      <c r="Q39" s="78"/>
      <c r="R39" s="72"/>
      <c r="S39" s="155">
        <f>IF($S$43=0,,I39)</f>
        <v>0</v>
      </c>
      <c r="T39" s="162">
        <f t="shared" si="17"/>
        <v>0</v>
      </c>
      <c r="U39" s="167">
        <f t="shared" si="4"/>
        <v>0</v>
      </c>
      <c r="V39" s="229"/>
      <c r="W39" s="181">
        <f t="shared" si="15"/>
        <v>0</v>
      </c>
      <c r="X39" s="651"/>
      <c r="Y39" s="516"/>
      <c r="Z39" s="125"/>
      <c r="AA39" s="125"/>
      <c r="AB39" s="125"/>
      <c r="AC39" s="125"/>
      <c r="AD39" s="125"/>
    </row>
    <row r="40" spans="1:30" s="74" customFormat="1" ht="15.75" customHeight="1" x14ac:dyDescent="0.2">
      <c r="A40" s="69" t="s">
        <v>7</v>
      </c>
      <c r="B40" s="94"/>
      <c r="C40" s="1446" t="s">
        <v>225</v>
      </c>
      <c r="D40" s="1447"/>
      <c r="E40" s="1447"/>
      <c r="F40" s="1448"/>
      <c r="G40" s="704" t="s">
        <v>31</v>
      </c>
      <c r="H40" s="92" t="s">
        <v>80</v>
      </c>
      <c r="I40" s="204"/>
      <c r="J40" s="162"/>
      <c r="K40" s="162">
        <f t="shared" si="16"/>
        <v>0</v>
      </c>
      <c r="L40" s="162">
        <f t="shared" si="11"/>
        <v>0</v>
      </c>
      <c r="M40" s="167">
        <f t="shared" si="12"/>
        <v>0</v>
      </c>
      <c r="N40" s="164"/>
      <c r="O40" s="1665"/>
      <c r="P40" s="1666"/>
      <c r="Q40" s="78"/>
      <c r="R40" s="72"/>
      <c r="S40" s="155">
        <f>IF($S$43=0,,I40)</f>
        <v>0</v>
      </c>
      <c r="T40" s="162">
        <f t="shared" si="17"/>
        <v>0</v>
      </c>
      <c r="U40" s="167">
        <f t="shared" si="4"/>
        <v>0</v>
      </c>
      <c r="V40" s="229"/>
      <c r="W40" s="181">
        <f t="shared" si="15"/>
        <v>0</v>
      </c>
      <c r="X40" s="651"/>
      <c r="Y40" s="516"/>
      <c r="Z40" s="125"/>
      <c r="AA40" s="125"/>
      <c r="AB40" s="125"/>
      <c r="AC40" s="125"/>
      <c r="AD40" s="125"/>
    </row>
    <row r="41" spans="1:30" s="74" customFormat="1" ht="31.5" customHeight="1" x14ac:dyDescent="0.2">
      <c r="A41" s="93" t="s">
        <v>7</v>
      </c>
      <c r="B41" s="94"/>
      <c r="C41" s="1665" t="s">
        <v>492</v>
      </c>
      <c r="D41" s="1700"/>
      <c r="E41" s="1700"/>
      <c r="F41" s="1701"/>
      <c r="G41" s="705" t="s">
        <v>31</v>
      </c>
      <c r="H41" s="96" t="s">
        <v>41</v>
      </c>
      <c r="I41" s="97"/>
      <c r="J41" s="163"/>
      <c r="K41" s="163"/>
      <c r="L41" s="163"/>
      <c r="M41" s="169">
        <f>L42</f>
        <v>0.08</v>
      </c>
      <c r="N41" s="164"/>
      <c r="O41" s="1665"/>
      <c r="P41" s="1666"/>
      <c r="Q41" s="78"/>
      <c r="R41" s="72"/>
      <c r="S41" s="104"/>
      <c r="T41" s="163"/>
      <c r="U41" s="169">
        <f>T42</f>
        <v>0</v>
      </c>
      <c r="V41" s="231"/>
      <c r="W41" s="181">
        <f t="shared" si="15"/>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1736" t="s">
        <v>61</v>
      </c>
      <c r="B44" s="1736"/>
      <c r="C44" s="1736"/>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1949"/>
      <c r="C45" s="1950"/>
      <c r="D45" s="1950"/>
      <c r="E45" s="1950"/>
      <c r="F45" s="1950"/>
      <c r="G45" s="1950"/>
      <c r="H45" s="1950"/>
      <c r="I45" s="1950"/>
      <c r="J45" s="1950"/>
      <c r="K45" s="1950"/>
      <c r="L45" s="1950"/>
      <c r="M45" s="1950"/>
      <c r="N45" s="1950"/>
      <c r="O45" s="1950"/>
      <c r="P45" s="1950"/>
      <c r="Q45" s="1950"/>
      <c r="R45" s="1950"/>
      <c r="S45" s="1950"/>
      <c r="T45" s="1950"/>
      <c r="U45" s="1950"/>
      <c r="V45" s="1950"/>
      <c r="W45" s="1950"/>
      <c r="X45" s="1950"/>
      <c r="Y45" s="1951"/>
    </row>
    <row r="46" spans="1:30" s="141" customFormat="1" ht="18" customHeight="1" x14ac:dyDescent="0.2">
      <c r="A46" s="769">
        <v>2</v>
      </c>
      <c r="B46" s="1949"/>
      <c r="C46" s="1950"/>
      <c r="D46" s="1950"/>
      <c r="E46" s="1950"/>
      <c r="F46" s="1950"/>
      <c r="G46" s="1950"/>
      <c r="H46" s="1950"/>
      <c r="I46" s="1950"/>
      <c r="J46" s="1950"/>
      <c r="K46" s="1950"/>
      <c r="L46" s="1950"/>
      <c r="M46" s="1950"/>
      <c r="N46" s="1950"/>
      <c r="O46" s="1950"/>
      <c r="P46" s="1950"/>
      <c r="Q46" s="1950"/>
      <c r="R46" s="1950"/>
      <c r="S46" s="1950"/>
      <c r="T46" s="1950"/>
      <c r="U46" s="1950"/>
      <c r="V46" s="1950"/>
      <c r="W46" s="1950"/>
      <c r="X46" s="1950"/>
      <c r="Y46" s="1951"/>
    </row>
    <row r="47" spans="1:30" s="141" customFormat="1" ht="19.5" customHeight="1" x14ac:dyDescent="0.2">
      <c r="A47" s="769">
        <v>3</v>
      </c>
      <c r="B47" s="1949"/>
      <c r="C47" s="1950"/>
      <c r="D47" s="1950"/>
      <c r="E47" s="1950"/>
      <c r="F47" s="1950"/>
      <c r="G47" s="1950"/>
      <c r="H47" s="1950"/>
      <c r="I47" s="1950"/>
      <c r="J47" s="1950"/>
      <c r="K47" s="1950"/>
      <c r="L47" s="1950"/>
      <c r="M47" s="1950"/>
      <c r="N47" s="1950"/>
      <c r="O47" s="1950"/>
      <c r="P47" s="1950"/>
      <c r="Q47" s="1950"/>
      <c r="R47" s="1950"/>
      <c r="S47" s="1950"/>
      <c r="T47" s="1950"/>
      <c r="U47" s="1950"/>
      <c r="V47" s="1950"/>
      <c r="W47" s="1950"/>
      <c r="X47" s="1950"/>
      <c r="Y47" s="1951"/>
    </row>
    <row r="48" spans="1:30" s="54" customFormat="1" ht="22.5" customHeight="1" x14ac:dyDescent="0.2">
      <c r="A48" s="769">
        <v>4</v>
      </c>
      <c r="B48" s="1949"/>
      <c r="C48" s="1950"/>
      <c r="D48" s="1950"/>
      <c r="E48" s="1950"/>
      <c r="F48" s="1950"/>
      <c r="G48" s="1950"/>
      <c r="H48" s="1950"/>
      <c r="I48" s="1950"/>
      <c r="J48" s="1950"/>
      <c r="K48" s="1950"/>
      <c r="L48" s="1950"/>
      <c r="M48" s="1950"/>
      <c r="N48" s="1950"/>
      <c r="O48" s="1950"/>
      <c r="P48" s="1950"/>
      <c r="Q48" s="1950"/>
      <c r="R48" s="1950"/>
      <c r="S48" s="1950"/>
      <c r="T48" s="1950"/>
      <c r="U48" s="1950"/>
      <c r="V48" s="1950"/>
      <c r="W48" s="1950"/>
      <c r="X48" s="1950"/>
      <c r="Y48" s="1951"/>
    </row>
  </sheetData>
  <sheetProtection insertRows="0"/>
  <mergeCells count="124">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B19:B20"/>
    <mergeCell ref="O13:Q13"/>
    <mergeCell ref="S13:U13"/>
    <mergeCell ref="A11:C11"/>
    <mergeCell ref="D11:E11"/>
    <mergeCell ref="F11:I11"/>
    <mergeCell ref="J11:N11"/>
    <mergeCell ref="S11:Y11"/>
    <mergeCell ref="C21:F21"/>
    <mergeCell ref="O21:P21"/>
    <mergeCell ref="K13:M13"/>
    <mergeCell ref="X14:X15"/>
    <mergeCell ref="Z19:Z20"/>
    <mergeCell ref="Y14:Y15"/>
    <mergeCell ref="C20:F20"/>
    <mergeCell ref="O20:P20"/>
    <mergeCell ref="T14:T15"/>
    <mergeCell ref="O15:P15"/>
    <mergeCell ref="C16:F16"/>
    <mergeCell ref="O16:P16"/>
    <mergeCell ref="C17:F1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69" t="s">
        <v>316</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6"/>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32" t="s">
        <v>28</v>
      </c>
      <c r="G4" s="1334"/>
      <c r="H4" s="187"/>
      <c r="I4" s="1939"/>
      <c r="J4" s="1939"/>
      <c r="K4" s="1939"/>
      <c r="L4" s="1940"/>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291" t="s">
        <v>244</v>
      </c>
      <c r="G5" s="1278"/>
      <c r="H5" s="185"/>
      <c r="I5" s="1935"/>
      <c r="J5" s="1935"/>
      <c r="K5" s="1935"/>
      <c r="L5" s="1936"/>
      <c r="M5" s="1388" t="s">
        <v>22</v>
      </c>
      <c r="N5" s="1388"/>
      <c r="O5" s="58"/>
      <c r="P5" s="238"/>
      <c r="Q5" s="1789" t="s">
        <v>302</v>
      </c>
      <c r="R5" s="1790"/>
      <c r="S5" s="1790"/>
      <c r="T5" s="1790"/>
      <c r="U5" s="1790"/>
      <c r="V5" s="1790"/>
      <c r="W5" s="1791"/>
      <c r="Y5" s="172" t="s">
        <v>31</v>
      </c>
      <c r="Z5" s="176">
        <f>SUMIF($G$16:$G$41,"STATE",$K$16:$K$41)</f>
        <v>79</v>
      </c>
      <c r="AA5" s="176">
        <f>SUMIF($G$16:$G$41,"STATE",$S$16:$S$41)</f>
        <v>0</v>
      </c>
    </row>
    <row r="6" spans="1:28" s="57" customFormat="1" ht="16.5" thickBot="1" x14ac:dyDescent="0.25">
      <c r="A6" s="1384" t="s">
        <v>12</v>
      </c>
      <c r="B6" s="1385"/>
      <c r="C6" s="1385"/>
      <c r="D6" s="1289"/>
      <c r="E6" s="1290"/>
      <c r="F6" s="1291" t="s">
        <v>20</v>
      </c>
      <c r="G6" s="1278"/>
      <c r="H6" s="185"/>
      <c r="I6" s="1935" t="s">
        <v>317</v>
      </c>
      <c r="J6" s="1935"/>
      <c r="K6" s="1935"/>
      <c r="L6" s="1936"/>
      <c r="M6" s="1389" t="s">
        <v>233</v>
      </c>
      <c r="N6" s="1389"/>
      <c r="O6" s="212">
        <f>O4+O5*10</f>
        <v>0</v>
      </c>
      <c r="P6" s="238"/>
      <c r="Q6" s="1786" t="s">
        <v>573</v>
      </c>
      <c r="R6" s="1787"/>
      <c r="S6" s="1787"/>
      <c r="T6" s="1787"/>
      <c r="U6" s="1787"/>
      <c r="V6" s="1787"/>
      <c r="W6" s="1788"/>
      <c r="Y6" s="172" t="s">
        <v>32</v>
      </c>
      <c r="Z6" s="176">
        <f>SUMIF($G$16:$G$41,"COUNTY",$K$16:$K$41)</f>
        <v>0</v>
      </c>
      <c r="AA6" s="176">
        <f>SUMIF($G$16:$G$41,"COUNTY",$S$16:$S$41)</f>
        <v>0</v>
      </c>
    </row>
    <row r="7" spans="1:28" s="57" customFormat="1" ht="16.5" thickBot="1" x14ac:dyDescent="0.25">
      <c r="A7" s="1384" t="s">
        <v>5</v>
      </c>
      <c r="B7" s="1385"/>
      <c r="C7" s="1385"/>
      <c r="D7" s="1282"/>
      <c r="E7" s="1283"/>
      <c r="F7" s="1284" t="s">
        <v>21</v>
      </c>
      <c r="G7" s="1285"/>
      <c r="H7" s="186"/>
      <c r="I7" s="1933" t="s">
        <v>3</v>
      </c>
      <c r="J7" s="1933"/>
      <c r="K7" s="1933"/>
      <c r="L7" s="1948"/>
      <c r="M7" s="235"/>
      <c r="N7" s="242"/>
      <c r="O7" s="236"/>
      <c r="P7" s="238"/>
      <c r="Q7" s="1778" t="s">
        <v>235</v>
      </c>
      <c r="R7" s="1779"/>
      <c r="S7" s="1779"/>
      <c r="T7" s="1779"/>
      <c r="U7" s="1779"/>
      <c r="V7" s="1779"/>
      <c r="W7" s="1780"/>
      <c r="Y7" s="172" t="s">
        <v>52</v>
      </c>
      <c r="Z7" s="176">
        <f>SUMIF($G$16:$G$41,"CITY",$K$16:$K$41)</f>
        <v>0</v>
      </c>
      <c r="AA7" s="176">
        <f>SUMIF($G$16:$G$41,"CITY",$S$16:$S$41)</f>
        <v>0</v>
      </c>
    </row>
    <row r="8" spans="1:28" s="57" customFormat="1" ht="15.75" customHeight="1" x14ac:dyDescent="0.2">
      <c r="A8" s="1394" t="s">
        <v>54</v>
      </c>
      <c r="B8" s="1395"/>
      <c r="C8" s="1395"/>
      <c r="D8" s="1781">
        <v>1</v>
      </c>
      <c r="E8" s="1809"/>
      <c r="F8" s="1332" t="s">
        <v>253</v>
      </c>
      <c r="G8" s="1334"/>
      <c r="H8" s="187"/>
      <c r="I8" s="1939"/>
      <c r="J8" s="1939"/>
      <c r="K8" s="1939"/>
      <c r="L8" s="1940"/>
      <c r="M8" s="1333" t="s">
        <v>257</v>
      </c>
      <c r="N8" s="1333"/>
      <c r="O8" s="55">
        <v>0</v>
      </c>
      <c r="P8" s="239"/>
      <c r="Q8" s="1772" t="s">
        <v>303</v>
      </c>
      <c r="R8" s="1726"/>
      <c r="S8" s="1726"/>
      <c r="T8" s="1726"/>
      <c r="U8" s="1726"/>
      <c r="V8" s="1726"/>
      <c r="W8" s="1773"/>
      <c r="Y8" s="172" t="s">
        <v>230</v>
      </c>
      <c r="Z8" s="176">
        <f>SUMIF($G$16:$G$41,"COURT",$K$16:$K$41)</f>
        <v>0</v>
      </c>
      <c r="AA8" s="176">
        <f>SUMIF($G$16:$G$41,"COURT",$S$16:$S$41)</f>
        <v>0</v>
      </c>
    </row>
    <row r="9" spans="1:28" s="57" customFormat="1" ht="18" customHeight="1" thickBot="1" x14ac:dyDescent="0.25">
      <c r="A9" s="1402" t="s">
        <v>53</v>
      </c>
      <c r="B9" s="1403"/>
      <c r="C9" s="1403"/>
      <c r="D9" s="1404">
        <f>100%-D8</f>
        <v>0</v>
      </c>
      <c r="E9" s="1405"/>
      <c r="F9" s="1291" t="s">
        <v>244</v>
      </c>
      <c r="G9" s="1278"/>
      <c r="H9" s="185"/>
      <c r="I9" s="1935"/>
      <c r="J9" s="1935"/>
      <c r="K9" s="1935"/>
      <c r="L9" s="1936"/>
      <c r="M9" s="1388" t="s">
        <v>22</v>
      </c>
      <c r="N9" s="1388"/>
      <c r="O9" s="58"/>
      <c r="P9" s="239"/>
      <c r="Q9" s="1774"/>
      <c r="R9" s="1729"/>
      <c r="S9" s="1729"/>
      <c r="T9" s="1729"/>
      <c r="U9" s="1729"/>
      <c r="V9" s="1729"/>
      <c r="W9" s="1775"/>
      <c r="Y9" s="153" t="s">
        <v>446</v>
      </c>
      <c r="Z9" s="176">
        <f>SUMIF($G$16:$G$41,"CNTY or CTY",$K$16:$K$41)</f>
        <v>0</v>
      </c>
      <c r="AA9" s="176">
        <f>SUMIF($G$16:$G$41,"CNTY or CTY",$S$16:$S$41)</f>
        <v>0</v>
      </c>
    </row>
    <row r="10" spans="1:28" s="57" customFormat="1" ht="16.5" customHeight="1" thickBot="1" x14ac:dyDescent="0.25">
      <c r="A10" s="1436" t="s">
        <v>276</v>
      </c>
      <c r="B10" s="1437"/>
      <c r="C10" s="1437"/>
      <c r="D10" s="1651">
        <f>O6+O10</f>
        <v>0</v>
      </c>
      <c r="E10" s="1652"/>
      <c r="F10" s="1291" t="s">
        <v>20</v>
      </c>
      <c r="G10" s="1278"/>
      <c r="H10" s="185"/>
      <c r="I10" s="1935"/>
      <c r="J10" s="1935"/>
      <c r="K10" s="1935"/>
      <c r="L10" s="1936"/>
      <c r="M10" s="1389" t="s">
        <v>233</v>
      </c>
      <c r="N10" s="1389"/>
      <c r="O10" s="212">
        <f>O8+O9*10</f>
        <v>0</v>
      </c>
      <c r="P10" s="240"/>
      <c r="Q10" s="1769" t="s">
        <v>239</v>
      </c>
      <c r="R10" s="1770"/>
      <c r="S10" s="1770"/>
      <c r="T10" s="1770"/>
      <c r="U10" s="1770"/>
      <c r="V10" s="1770"/>
      <c r="W10" s="1771"/>
      <c r="Y10" s="274" t="s">
        <v>246</v>
      </c>
      <c r="Z10" s="148">
        <f>SUM(Z5:Z9)</f>
        <v>79</v>
      </c>
      <c r="AA10" s="148">
        <f>SUM(AA5:AA9)</f>
        <v>0</v>
      </c>
    </row>
    <row r="11" spans="1:28" s="57" customFormat="1" ht="16.5" customHeight="1" thickBot="1" x14ac:dyDescent="0.25">
      <c r="A11" s="1439" t="s">
        <v>277</v>
      </c>
      <c r="B11" s="1440"/>
      <c r="C11" s="1440"/>
      <c r="D11" s="1649">
        <f>ROUNDUP(D10/10,0)</f>
        <v>0</v>
      </c>
      <c r="E11" s="1650"/>
      <c r="F11" s="1284" t="s">
        <v>21</v>
      </c>
      <c r="G11" s="1285"/>
      <c r="H11" s="186"/>
      <c r="I11" s="1933"/>
      <c r="J11" s="1933"/>
      <c r="K11" s="1933"/>
      <c r="L11" s="1948"/>
      <c r="M11" s="1400" t="s">
        <v>568</v>
      </c>
      <c r="N11" s="1847"/>
      <c r="O11" s="780">
        <f>'1-DUI (Reduce Base)'!P11</f>
        <v>5</v>
      </c>
      <c r="P11" s="240"/>
      <c r="Q11" s="1755" t="s">
        <v>430</v>
      </c>
      <c r="R11" s="1756"/>
      <c r="S11" s="1756"/>
      <c r="T11" s="1756"/>
      <c r="U11" s="1756"/>
      <c r="V11" s="1756"/>
      <c r="W11" s="175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291">
        <v>0.02</v>
      </c>
      <c r="B14" s="291" t="s">
        <v>58</v>
      </c>
      <c r="C14" s="1364" t="s">
        <v>226</v>
      </c>
      <c r="D14" s="1365"/>
      <c r="E14" s="1365"/>
      <c r="F14" s="1366"/>
      <c r="G14" s="290" t="s">
        <v>249</v>
      </c>
      <c r="H14" s="114" t="s">
        <v>0</v>
      </c>
      <c r="I14" s="1805" t="s">
        <v>298</v>
      </c>
      <c r="J14" s="1747" t="s">
        <v>6</v>
      </c>
      <c r="K14" s="289" t="s">
        <v>299</v>
      </c>
      <c r="L14" s="67"/>
      <c r="M14" s="1716" t="s">
        <v>260</v>
      </c>
      <c r="N14" s="1717"/>
      <c r="O14" s="288" t="s">
        <v>248</v>
      </c>
      <c r="P14" s="121"/>
      <c r="Q14" s="690" t="s">
        <v>428</v>
      </c>
      <c r="R14" s="1747" t="s">
        <v>6</v>
      </c>
      <c r="S14" s="289" t="s">
        <v>299</v>
      </c>
      <c r="T14" s="228"/>
      <c r="U14" s="273" t="s">
        <v>256</v>
      </c>
      <c r="V14" s="1749" t="s">
        <v>61</v>
      </c>
      <c r="W14" s="1971" t="s">
        <v>384</v>
      </c>
    </row>
    <row r="15" spans="1:28" ht="30.75" customHeight="1" thickBot="1" x14ac:dyDescent="0.25">
      <c r="A15" s="292"/>
      <c r="B15" s="292"/>
      <c r="C15" s="1367"/>
      <c r="D15" s="1368"/>
      <c r="E15" s="1368"/>
      <c r="F15" s="1369"/>
      <c r="G15" s="293"/>
      <c r="H15" s="293"/>
      <c r="I15" s="1806"/>
      <c r="J15" s="1748"/>
      <c r="K15" s="244" t="s">
        <v>42</v>
      </c>
      <c r="L15" s="68"/>
      <c r="M15" s="1714"/>
      <c r="N15" s="1715"/>
      <c r="O15" s="297" t="s">
        <v>43</v>
      </c>
      <c r="P15" s="121"/>
      <c r="Q15" s="246" t="e">
        <f>(Q35-Q31)/(I35-I31)</f>
        <v>#DIV/0!</v>
      </c>
      <c r="R15" s="1748"/>
      <c r="S15" s="244" t="s">
        <v>44</v>
      </c>
      <c r="T15" s="228"/>
      <c r="U15" s="298" t="s">
        <v>300</v>
      </c>
      <c r="V15" s="1818"/>
      <c r="W15" s="1752"/>
    </row>
    <row r="16" spans="1:28" s="74" customFormat="1" ht="15.75" hidden="1" customHeight="1" thickTop="1" x14ac:dyDescent="0.2">
      <c r="A16" s="69" t="s">
        <v>8</v>
      </c>
      <c r="B16" s="195"/>
      <c r="C16" s="1692"/>
      <c r="D16" s="1692"/>
      <c r="E16" s="1692"/>
      <c r="F16" s="1692"/>
      <c r="G16" s="70"/>
      <c r="H16" s="71"/>
      <c r="I16" s="154"/>
      <c r="J16" s="162"/>
      <c r="K16" s="198"/>
      <c r="L16" s="164"/>
      <c r="M16" s="1731"/>
      <c r="N16" s="1732"/>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665"/>
      <c r="D17" s="1700"/>
      <c r="E17" s="1700"/>
      <c r="F17" s="1701"/>
      <c r="G17" s="76"/>
      <c r="H17" s="77"/>
      <c r="I17" s="156"/>
      <c r="J17" s="162"/>
      <c r="K17" s="167"/>
      <c r="L17" s="164"/>
      <c r="M17" s="1665"/>
      <c r="N17" s="1666"/>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692"/>
      <c r="D18" s="1692"/>
      <c r="E18" s="1692"/>
      <c r="F18" s="1692"/>
      <c r="G18" s="281"/>
      <c r="H18" s="77"/>
      <c r="I18" s="156"/>
      <c r="J18" s="162"/>
      <c r="K18" s="167"/>
      <c r="L18" s="164"/>
      <c r="M18" s="1665"/>
      <c r="N18" s="1666"/>
      <c r="O18" s="190"/>
      <c r="P18" s="72"/>
      <c r="Q18" s="160"/>
      <c r="R18" s="162"/>
      <c r="S18" s="167"/>
      <c r="T18" s="229"/>
      <c r="U18" s="181"/>
      <c r="V18" s="181"/>
      <c r="W18" s="73"/>
      <c r="X18" s="125"/>
      <c r="Y18" s="125"/>
      <c r="Z18" s="125"/>
      <c r="AA18" s="125"/>
      <c r="AB18" s="125"/>
    </row>
    <row r="19" spans="1:28" s="74" customFormat="1" ht="15.75" customHeight="1" x14ac:dyDescent="0.2">
      <c r="A19" s="69" t="s">
        <v>8</v>
      </c>
      <c r="B19" s="1801" t="s">
        <v>241</v>
      </c>
      <c r="C19" s="1659" t="s">
        <v>212</v>
      </c>
      <c r="D19" s="1659"/>
      <c r="E19" s="1659"/>
      <c r="F19" s="1659"/>
      <c r="G19" s="694" t="s">
        <v>32</v>
      </c>
      <c r="H19" s="77" t="s">
        <v>27</v>
      </c>
      <c r="I19" s="155">
        <f>(D10-SUM(I16:I18))*D8</f>
        <v>0</v>
      </c>
      <c r="J19" s="162">
        <f>IF(A19="Y",I19* 2%,0)</f>
        <v>0</v>
      </c>
      <c r="K19" s="167">
        <f>I19-J19</f>
        <v>0</v>
      </c>
      <c r="L19" s="164"/>
      <c r="M19" s="1665"/>
      <c r="N19" s="1666"/>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802"/>
      <c r="C20" s="1659" t="s">
        <v>213</v>
      </c>
      <c r="D20" s="1659"/>
      <c r="E20" s="1659"/>
      <c r="F20" s="1659"/>
      <c r="G20" s="694" t="s">
        <v>52</v>
      </c>
      <c r="H20" s="77" t="s">
        <v>25</v>
      </c>
      <c r="I20" s="155">
        <f>(D10-SUM(I16:I18))*D9</f>
        <v>0</v>
      </c>
      <c r="J20" s="162">
        <f t="shared" ref="J20:J34" si="4">IF(A20="Y",I20* 2%,0)</f>
        <v>0</v>
      </c>
      <c r="K20" s="167">
        <f t="shared" ref="K20:K33" si="5">I20-J20</f>
        <v>0</v>
      </c>
      <c r="L20" s="164"/>
      <c r="M20" s="1665"/>
      <c r="N20" s="1666"/>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659" t="s">
        <v>546</v>
      </c>
      <c r="D21" s="1659"/>
      <c r="E21" s="1659"/>
      <c r="F21" s="1659"/>
      <c r="G21" s="694" t="s">
        <v>31</v>
      </c>
      <c r="H21" s="77" t="s">
        <v>26</v>
      </c>
      <c r="I21" s="155">
        <f>$D$11*B21</f>
        <v>0</v>
      </c>
      <c r="J21" s="162">
        <f t="shared" si="4"/>
        <v>0</v>
      </c>
      <c r="K21" s="167">
        <f t="shared" si="5"/>
        <v>0</v>
      </c>
      <c r="L21" s="164"/>
      <c r="M21" s="1665"/>
      <c r="N21" s="1666"/>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659" t="s">
        <v>547</v>
      </c>
      <c r="D22" s="1659"/>
      <c r="E22" s="1659"/>
      <c r="F22" s="1659"/>
      <c r="G22" s="694" t="s">
        <v>32</v>
      </c>
      <c r="H22" s="77" t="s">
        <v>27</v>
      </c>
      <c r="I22" s="155">
        <f t="shared" ref="I22:I33" si="6">$D$11*B22</f>
        <v>0</v>
      </c>
      <c r="J22" s="162">
        <f t="shared" si="4"/>
        <v>0</v>
      </c>
      <c r="K22" s="167">
        <f t="shared" si="5"/>
        <v>0</v>
      </c>
      <c r="L22" s="164"/>
      <c r="M22" s="1665"/>
      <c r="N22" s="1666"/>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665" t="s">
        <v>216</v>
      </c>
      <c r="D23" s="1700"/>
      <c r="E23" s="1700"/>
      <c r="F23" s="1701"/>
      <c r="G23" s="694" t="s">
        <v>32</v>
      </c>
      <c r="H23" s="77" t="s">
        <v>55</v>
      </c>
      <c r="I23" s="155">
        <f t="shared" si="6"/>
        <v>0</v>
      </c>
      <c r="J23" s="162">
        <f t="shared" si="4"/>
        <v>0</v>
      </c>
      <c r="K23" s="167">
        <f t="shared" si="5"/>
        <v>0</v>
      </c>
      <c r="L23" s="164"/>
      <c r="M23" s="1665"/>
      <c r="N23" s="1666"/>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665" t="s">
        <v>466</v>
      </c>
      <c r="D24" s="1700"/>
      <c r="E24" s="1700"/>
      <c r="F24" s="1701"/>
      <c r="G24" s="694" t="s">
        <v>31</v>
      </c>
      <c r="H24" s="77" t="s">
        <v>72</v>
      </c>
      <c r="I24" s="155">
        <f t="shared" si="6"/>
        <v>0</v>
      </c>
      <c r="J24" s="162">
        <f t="shared" si="4"/>
        <v>0</v>
      </c>
      <c r="K24" s="167">
        <f t="shared" si="5"/>
        <v>0</v>
      </c>
      <c r="L24" s="164"/>
      <c r="M24" s="1665"/>
      <c r="N24" s="1666"/>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6"/>
        <v>0</v>
      </c>
      <c r="J25" s="162">
        <f t="shared" si="4"/>
        <v>0</v>
      </c>
      <c r="K25" s="167">
        <f t="shared" si="5"/>
        <v>0</v>
      </c>
      <c r="L25" s="164"/>
      <c r="M25" s="1665"/>
      <c r="N25" s="1666"/>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659" t="s">
        <v>218</v>
      </c>
      <c r="D26" s="1659"/>
      <c r="E26" s="1741"/>
      <c r="F26" s="1742"/>
      <c r="G26" s="694" t="s">
        <v>32</v>
      </c>
      <c r="H26" s="77" t="s">
        <v>35</v>
      </c>
      <c r="I26" s="155">
        <f t="shared" si="6"/>
        <v>0</v>
      </c>
      <c r="J26" s="162">
        <f t="shared" si="4"/>
        <v>0</v>
      </c>
      <c r="K26" s="167">
        <f t="shared" si="5"/>
        <v>0</v>
      </c>
      <c r="L26" s="164"/>
      <c r="M26" s="1665"/>
      <c r="N26" s="1666"/>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659" t="s">
        <v>219</v>
      </c>
      <c r="D27" s="1659"/>
      <c r="E27" s="1741"/>
      <c r="F27" s="1742"/>
      <c r="G27" s="694" t="s">
        <v>32</v>
      </c>
      <c r="H27" s="77" t="s">
        <v>65</v>
      </c>
      <c r="I27" s="155">
        <f t="shared" si="6"/>
        <v>0</v>
      </c>
      <c r="J27" s="162">
        <f t="shared" si="4"/>
        <v>0</v>
      </c>
      <c r="K27" s="167">
        <f t="shared" si="5"/>
        <v>0</v>
      </c>
      <c r="L27" s="164"/>
      <c r="M27" s="1665"/>
      <c r="N27" s="1666"/>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659" t="s">
        <v>401</v>
      </c>
      <c r="D28" s="1659"/>
      <c r="E28" s="1741"/>
      <c r="F28" s="1742"/>
      <c r="G28" s="694" t="s">
        <v>32</v>
      </c>
      <c r="H28" s="77" t="s">
        <v>65</v>
      </c>
      <c r="I28" s="155">
        <f>$D$11*B28</f>
        <v>0</v>
      </c>
      <c r="J28" s="162">
        <f>IF(A28="Y",I28* 2%,0)</f>
        <v>0</v>
      </c>
      <c r="K28" s="167">
        <f>I28-J28</f>
        <v>0</v>
      </c>
      <c r="L28" s="164"/>
      <c r="M28" s="1665"/>
      <c r="N28" s="1666"/>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659" t="s">
        <v>254</v>
      </c>
      <c r="D29" s="1659"/>
      <c r="E29" s="1743"/>
      <c r="F29" s="1744"/>
      <c r="G29" s="694" t="s">
        <v>32</v>
      </c>
      <c r="H29" s="77"/>
      <c r="I29" s="155">
        <f t="shared" si="6"/>
        <v>0</v>
      </c>
      <c r="J29" s="162">
        <f t="shared" si="4"/>
        <v>0</v>
      </c>
      <c r="K29" s="167">
        <f t="shared" si="5"/>
        <v>0</v>
      </c>
      <c r="L29" s="164"/>
      <c r="M29" s="1665"/>
      <c r="N29" s="1666"/>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49" t="s">
        <v>286</v>
      </c>
      <c r="D30" s="1459"/>
      <c r="E30" s="1459"/>
      <c r="F30" s="1460"/>
      <c r="G30" s="702" t="s">
        <v>32</v>
      </c>
      <c r="H30" s="84" t="s">
        <v>36</v>
      </c>
      <c r="I30" s="155">
        <f t="shared" si="6"/>
        <v>0</v>
      </c>
      <c r="J30" s="162">
        <f t="shared" si="4"/>
        <v>0</v>
      </c>
      <c r="K30" s="167">
        <f t="shared" si="5"/>
        <v>0</v>
      </c>
      <c r="L30" s="164"/>
      <c r="M30" s="1665"/>
      <c r="N30" s="1666"/>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449" t="s">
        <v>385</v>
      </c>
      <c r="D31" s="1459"/>
      <c r="E31" s="1459"/>
      <c r="F31" s="1460"/>
      <c r="G31" s="702" t="s">
        <v>31</v>
      </c>
      <c r="H31" s="91" t="s">
        <v>39</v>
      </c>
      <c r="I31" s="204">
        <v>4</v>
      </c>
      <c r="J31" s="162">
        <f>IF(A31="Y", I31*2%,0)</f>
        <v>0.08</v>
      </c>
      <c r="K31" s="167">
        <f>I31-J31</f>
        <v>3.92</v>
      </c>
      <c r="L31" s="164"/>
      <c r="M31" s="1665"/>
      <c r="N31" s="1666"/>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449" t="s">
        <v>555</v>
      </c>
      <c r="D32" s="1459"/>
      <c r="E32" s="1460"/>
      <c r="F32" s="1591" t="s">
        <v>281</v>
      </c>
      <c r="G32" s="702" t="s">
        <v>31</v>
      </c>
      <c r="H32" s="84" t="s">
        <v>37</v>
      </c>
      <c r="I32" s="155">
        <f t="shared" si="6"/>
        <v>0</v>
      </c>
      <c r="J32" s="162">
        <f t="shared" si="4"/>
        <v>0</v>
      </c>
      <c r="K32" s="167">
        <f t="shared" si="5"/>
        <v>0</v>
      </c>
      <c r="L32" s="164"/>
      <c r="M32" s="1665"/>
      <c r="N32" s="1666"/>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449" t="s">
        <v>556</v>
      </c>
      <c r="D33" s="1459"/>
      <c r="E33" s="1460"/>
      <c r="F33" s="1592"/>
      <c r="G33" s="702" t="s">
        <v>31</v>
      </c>
      <c r="H33" s="84" t="s">
        <v>197</v>
      </c>
      <c r="I33" s="155">
        <f t="shared" si="6"/>
        <v>0</v>
      </c>
      <c r="J33" s="162">
        <f t="shared" si="4"/>
        <v>0</v>
      </c>
      <c r="K33" s="167">
        <f t="shared" si="5"/>
        <v>0</v>
      </c>
      <c r="L33" s="164"/>
      <c r="M33" s="1665"/>
      <c r="N33" s="1666"/>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49" t="s">
        <v>220</v>
      </c>
      <c r="D34" s="1459"/>
      <c r="E34" s="1459"/>
      <c r="F34" s="1460"/>
      <c r="G34" s="702" t="s">
        <v>31</v>
      </c>
      <c r="H34" s="84" t="s">
        <v>10</v>
      </c>
      <c r="I34" s="155">
        <f>$D$10*20%</f>
        <v>0</v>
      </c>
      <c r="J34" s="162">
        <f t="shared" si="4"/>
        <v>0</v>
      </c>
      <c r="K34" s="167">
        <f>I34-J34</f>
        <v>0</v>
      </c>
      <c r="L34" s="164"/>
      <c r="M34" s="1665"/>
      <c r="N34" s="1666"/>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456" t="s">
        <v>221</v>
      </c>
      <c r="D35" s="1694"/>
      <c r="E35" s="1694"/>
      <c r="F35" s="1695"/>
      <c r="G35" s="703"/>
      <c r="H35" s="88"/>
      <c r="I35" s="157">
        <f>SUM(I16:I34)</f>
        <v>4</v>
      </c>
      <c r="J35" s="162"/>
      <c r="K35" s="168">
        <f>SUM(K16:K34)</f>
        <v>3.92</v>
      </c>
      <c r="L35" s="165"/>
      <c r="M35" s="1449"/>
      <c r="N35" s="1699"/>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449" t="s">
        <v>419</v>
      </c>
      <c r="D36" s="1459"/>
      <c r="E36" s="1459"/>
      <c r="F36" s="1460"/>
      <c r="G36" s="702" t="s">
        <v>31</v>
      </c>
      <c r="H36" s="91"/>
      <c r="I36" s="204">
        <v>40</v>
      </c>
      <c r="J36" s="162">
        <f>IF(A36="Y", I36*2%,0)</f>
        <v>0</v>
      </c>
      <c r="K36" s="167">
        <f>I36-J36</f>
        <v>40</v>
      </c>
      <c r="L36" s="164"/>
      <c r="M36" s="499"/>
      <c r="N36" s="500"/>
      <c r="O36" s="78"/>
      <c r="P36" s="72"/>
      <c r="Q36" s="155">
        <f>IF($Q$43=0,,I36)</f>
        <v>0</v>
      </c>
      <c r="R36" s="162">
        <f t="shared" ref="R36" si="7">IF(A36="Y", Q36*2%,)</f>
        <v>0</v>
      </c>
      <c r="S36" s="167">
        <f t="shared" ref="S36" si="8">Q36-R36</f>
        <v>0</v>
      </c>
      <c r="T36" s="229"/>
      <c r="U36" s="181">
        <f t="shared" ref="U36:U41" si="9">IF($U$15="BASE-UP   (B-A)", O36-K36,O36-S36)</f>
        <v>-40</v>
      </c>
      <c r="V36" s="651"/>
      <c r="W36" s="82"/>
      <c r="X36" s="127"/>
      <c r="Y36" s="127"/>
      <c r="Z36" s="127"/>
      <c r="AA36" s="127"/>
      <c r="AB36" s="127"/>
    </row>
    <row r="37" spans="1:28" s="85" customFormat="1" ht="15.75" customHeight="1" x14ac:dyDescent="0.2">
      <c r="A37" s="69" t="s">
        <v>7</v>
      </c>
      <c r="B37" s="75"/>
      <c r="C37" s="1446" t="s">
        <v>259</v>
      </c>
      <c r="D37" s="1447"/>
      <c r="E37" s="1447"/>
      <c r="F37" s="1448"/>
      <c r="G37" s="704" t="s">
        <v>31</v>
      </c>
      <c r="H37" s="92" t="s">
        <v>197</v>
      </c>
      <c r="I37" s="204">
        <v>35</v>
      </c>
      <c r="J37" s="162">
        <f t="shared" ref="J37:J40" si="10">IF(A37="Y", I37*2%,0)</f>
        <v>0</v>
      </c>
      <c r="K37" s="167">
        <f t="shared" ref="K37:K40" si="11">I37-J37</f>
        <v>35</v>
      </c>
      <c r="L37" s="164"/>
      <c r="M37" s="1665"/>
      <c r="N37" s="1666"/>
      <c r="O37" s="78"/>
      <c r="P37" s="72"/>
      <c r="Q37" s="155">
        <f>IF($Q$43=0,,I37)</f>
        <v>0</v>
      </c>
      <c r="R37" s="162">
        <f t="shared" ref="R37:R40" si="12">IF(A37="Y", Q37*2%,)</f>
        <v>0</v>
      </c>
      <c r="S37" s="167">
        <f t="shared" si="2"/>
        <v>0</v>
      </c>
      <c r="T37" s="229"/>
      <c r="U37" s="181">
        <f t="shared" si="9"/>
        <v>-35</v>
      </c>
      <c r="V37" s="651"/>
      <c r="W37" s="73"/>
      <c r="X37" s="127"/>
      <c r="Y37" s="127"/>
      <c r="Z37" s="127"/>
      <c r="AA37" s="127"/>
      <c r="AB37" s="127"/>
    </row>
    <row r="38" spans="1:28" s="74" customFormat="1" ht="15.75" customHeight="1" x14ac:dyDescent="0.2">
      <c r="A38" s="69" t="s">
        <v>7</v>
      </c>
      <c r="B38" s="94"/>
      <c r="C38" s="1446" t="s">
        <v>421</v>
      </c>
      <c r="D38" s="1447"/>
      <c r="E38" s="1447"/>
      <c r="F38" s="1448"/>
      <c r="G38" s="704" t="s">
        <v>230</v>
      </c>
      <c r="H38" s="92" t="s">
        <v>24</v>
      </c>
      <c r="I38" s="204"/>
      <c r="J38" s="162">
        <f t="shared" si="10"/>
        <v>0</v>
      </c>
      <c r="K38" s="167">
        <f t="shared" si="11"/>
        <v>0</v>
      </c>
      <c r="L38" s="164"/>
      <c r="M38" s="1665"/>
      <c r="N38" s="1666"/>
      <c r="O38" s="78"/>
      <c r="P38" s="72"/>
      <c r="Q38" s="155">
        <f>IF($Q$43=0,,I38)</f>
        <v>0</v>
      </c>
      <c r="R38" s="162">
        <f t="shared" si="12"/>
        <v>0</v>
      </c>
      <c r="S38" s="167">
        <f t="shared" si="2"/>
        <v>0</v>
      </c>
      <c r="T38" s="229"/>
      <c r="U38" s="181">
        <f t="shared" si="9"/>
        <v>0</v>
      </c>
      <c r="V38" s="651"/>
      <c r="W38" s="77"/>
      <c r="X38" s="125"/>
      <c r="Y38" s="125"/>
      <c r="Z38" s="125"/>
      <c r="AA38" s="125"/>
      <c r="AB38" s="125"/>
    </row>
    <row r="39" spans="1:28" s="74" customFormat="1" ht="47.25" customHeight="1" x14ac:dyDescent="0.2">
      <c r="A39" s="69" t="s">
        <v>7</v>
      </c>
      <c r="B39" s="94"/>
      <c r="C39" s="1449" t="s">
        <v>517</v>
      </c>
      <c r="D39" s="1459"/>
      <c r="E39" s="1459"/>
      <c r="F39" s="1460"/>
      <c r="G39" s="704" t="s">
        <v>230</v>
      </c>
      <c r="H39" s="92" t="s">
        <v>82</v>
      </c>
      <c r="I39" s="204"/>
      <c r="J39" s="162">
        <f t="shared" si="10"/>
        <v>0</v>
      </c>
      <c r="K39" s="167">
        <f t="shared" si="11"/>
        <v>0</v>
      </c>
      <c r="L39" s="164"/>
      <c r="M39" s="1665"/>
      <c r="N39" s="1666"/>
      <c r="O39" s="78"/>
      <c r="P39" s="72"/>
      <c r="Q39" s="155">
        <f>IF($Q$43=0,,I39)</f>
        <v>0</v>
      </c>
      <c r="R39" s="162">
        <f t="shared" si="12"/>
        <v>0</v>
      </c>
      <c r="S39" s="167">
        <f t="shared" si="2"/>
        <v>0</v>
      </c>
      <c r="T39" s="229"/>
      <c r="U39" s="181">
        <f t="shared" si="9"/>
        <v>0</v>
      </c>
      <c r="V39" s="651"/>
      <c r="W39" s="77"/>
      <c r="X39" s="125"/>
      <c r="Y39" s="125"/>
      <c r="Z39" s="125"/>
      <c r="AA39" s="125"/>
      <c r="AB39" s="125"/>
    </row>
    <row r="40" spans="1:28" s="74" customFormat="1" ht="15.75" customHeight="1" x14ac:dyDescent="0.2">
      <c r="A40" s="69" t="s">
        <v>7</v>
      </c>
      <c r="B40" s="94"/>
      <c r="C40" s="1446" t="s">
        <v>225</v>
      </c>
      <c r="D40" s="1447"/>
      <c r="E40" s="1447"/>
      <c r="F40" s="1448"/>
      <c r="G40" s="704" t="s">
        <v>31</v>
      </c>
      <c r="H40" s="92" t="s">
        <v>80</v>
      </c>
      <c r="I40" s="204"/>
      <c r="J40" s="162">
        <f t="shared" si="10"/>
        <v>0</v>
      </c>
      <c r="K40" s="167">
        <f t="shared" si="11"/>
        <v>0</v>
      </c>
      <c r="L40" s="164"/>
      <c r="M40" s="1665"/>
      <c r="N40" s="1666"/>
      <c r="O40" s="78"/>
      <c r="P40" s="72"/>
      <c r="Q40" s="155">
        <f>IF($Q$43=0,,I40)</f>
        <v>0</v>
      </c>
      <c r="R40" s="162">
        <f t="shared" si="12"/>
        <v>0</v>
      </c>
      <c r="S40" s="167">
        <f t="shared" si="2"/>
        <v>0</v>
      </c>
      <c r="T40" s="229"/>
      <c r="U40" s="181">
        <f t="shared" si="9"/>
        <v>0</v>
      </c>
      <c r="V40" s="651"/>
      <c r="W40" s="77"/>
      <c r="X40" s="125"/>
      <c r="Y40" s="125"/>
      <c r="Z40" s="125"/>
      <c r="AA40" s="125"/>
      <c r="AB40" s="125"/>
    </row>
    <row r="41" spans="1:28" s="74" customFormat="1" ht="31.5" customHeight="1" x14ac:dyDescent="0.2">
      <c r="A41" s="93" t="s">
        <v>7</v>
      </c>
      <c r="B41" s="94"/>
      <c r="C41" s="1665" t="s">
        <v>492</v>
      </c>
      <c r="D41" s="1700"/>
      <c r="E41" s="1700"/>
      <c r="F41" s="1701"/>
      <c r="G41" s="705" t="s">
        <v>31</v>
      </c>
      <c r="H41" s="96" t="s">
        <v>41</v>
      </c>
      <c r="I41" s="97"/>
      <c r="J41" s="163"/>
      <c r="K41" s="169">
        <f>J42</f>
        <v>0.08</v>
      </c>
      <c r="L41" s="164"/>
      <c r="M41" s="1665"/>
      <c r="N41" s="1666"/>
      <c r="O41" s="78"/>
      <c r="P41" s="72"/>
      <c r="Q41" s="104"/>
      <c r="R41" s="163"/>
      <c r="S41" s="169">
        <f>R42</f>
        <v>0</v>
      </c>
      <c r="T41" s="231"/>
      <c r="U41" s="181">
        <f t="shared" si="9"/>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736" t="s">
        <v>61</v>
      </c>
      <c r="B44" s="1736"/>
      <c r="C44" s="1736"/>
      <c r="D44" s="210"/>
      <c r="E44" s="133"/>
      <c r="F44" s="133"/>
      <c r="K44" s="135"/>
      <c r="L44" s="136"/>
      <c r="P44" s="137"/>
      <c r="Q44" s="137"/>
      <c r="R44" s="137"/>
      <c r="S44" s="137"/>
      <c r="T44" s="137"/>
      <c r="U44" s="138"/>
      <c r="V44" s="138"/>
      <c r="W44" s="139"/>
    </row>
    <row r="45" spans="1:28" s="141" customFormat="1" ht="18" customHeight="1" x14ac:dyDescent="0.2">
      <c r="A45" s="769">
        <v>1</v>
      </c>
      <c r="B45" s="1970"/>
      <c r="C45" s="1970"/>
      <c r="D45" s="1970"/>
      <c r="E45" s="1970"/>
      <c r="F45" s="1970"/>
      <c r="G45" s="1970"/>
      <c r="H45" s="1970"/>
      <c r="I45" s="1970"/>
      <c r="J45" s="1970"/>
      <c r="K45" s="1970"/>
      <c r="L45" s="1970"/>
      <c r="M45" s="1970"/>
      <c r="N45" s="1970"/>
      <c r="O45" s="1970"/>
      <c r="P45" s="1970"/>
      <c r="Q45" s="1970"/>
      <c r="R45" s="1970"/>
      <c r="S45" s="1970"/>
      <c r="T45" s="1970"/>
      <c r="U45" s="1970"/>
      <c r="V45" s="1970"/>
      <c r="W45" s="1970"/>
    </row>
    <row r="46" spans="1:28" s="141" customFormat="1" ht="18" customHeight="1" x14ac:dyDescent="0.2">
      <c r="A46" s="769">
        <v>2</v>
      </c>
      <c r="B46" s="1970"/>
      <c r="C46" s="1970"/>
      <c r="D46" s="1970"/>
      <c r="E46" s="1970"/>
      <c r="F46" s="1970"/>
      <c r="G46" s="1970"/>
      <c r="H46" s="1970"/>
      <c r="I46" s="1970"/>
      <c r="J46" s="1970"/>
      <c r="K46" s="1970"/>
      <c r="L46" s="1970"/>
      <c r="M46" s="1970"/>
      <c r="N46" s="1970"/>
      <c r="O46" s="1970"/>
      <c r="P46" s="1970"/>
      <c r="Q46" s="1970"/>
      <c r="R46" s="1970"/>
      <c r="S46" s="1970"/>
      <c r="T46" s="1970"/>
      <c r="U46" s="1970"/>
      <c r="V46" s="1970"/>
      <c r="W46" s="1970"/>
    </row>
    <row r="47" spans="1:28" s="141" customFormat="1" ht="18" customHeight="1" x14ac:dyDescent="0.2">
      <c r="A47" s="769">
        <v>3</v>
      </c>
      <c r="B47" s="1970"/>
      <c r="C47" s="1970"/>
      <c r="D47" s="1970"/>
      <c r="E47" s="1970"/>
      <c r="F47" s="1970"/>
      <c r="G47" s="1970"/>
      <c r="H47" s="1970"/>
      <c r="I47" s="1970"/>
      <c r="J47" s="1970"/>
      <c r="K47" s="1970"/>
      <c r="L47" s="1970"/>
      <c r="M47" s="1970"/>
      <c r="N47" s="1970"/>
      <c r="O47" s="1970"/>
      <c r="P47" s="1970"/>
      <c r="Q47" s="1970"/>
      <c r="R47" s="1970"/>
      <c r="S47" s="1970"/>
      <c r="T47" s="1970"/>
      <c r="U47" s="1970"/>
      <c r="V47" s="1970"/>
      <c r="W47" s="1970"/>
    </row>
    <row r="48" spans="1:28" s="54" customFormat="1" ht="19.5" customHeight="1" x14ac:dyDescent="0.2">
      <c r="A48" s="769">
        <v>4</v>
      </c>
      <c r="B48" s="1970"/>
      <c r="C48" s="1970"/>
      <c r="D48" s="1970"/>
      <c r="E48" s="1970"/>
      <c r="F48" s="1970"/>
      <c r="G48" s="1970"/>
      <c r="H48" s="1970"/>
      <c r="I48" s="1970"/>
      <c r="J48" s="1970"/>
      <c r="K48" s="1970"/>
      <c r="L48" s="1970"/>
      <c r="M48" s="1970"/>
      <c r="N48" s="1970"/>
      <c r="O48" s="1970"/>
      <c r="P48" s="1970"/>
      <c r="Q48" s="1970"/>
      <c r="R48" s="1970"/>
      <c r="S48" s="1970"/>
      <c r="T48" s="1970"/>
      <c r="U48" s="1970"/>
      <c r="V48" s="1970"/>
      <c r="W48" s="1970"/>
    </row>
  </sheetData>
  <sheetProtection insertRows="0"/>
  <mergeCells count="120">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C23:F23"/>
    <mergeCell ref="M23:N23"/>
    <mergeCell ref="C18:F18"/>
    <mergeCell ref="M18:N18"/>
    <mergeCell ref="B19:B20"/>
    <mergeCell ref="C19:F19"/>
    <mergeCell ref="M19:N19"/>
    <mergeCell ref="C20:F20"/>
    <mergeCell ref="M20:N2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69" t="s">
        <v>386</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6"/>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32" t="s">
        <v>28</v>
      </c>
      <c r="G4" s="1334"/>
      <c r="H4" s="187"/>
      <c r="I4" s="1939" t="s">
        <v>387</v>
      </c>
      <c r="J4" s="1939"/>
      <c r="K4" s="1939"/>
      <c r="L4" s="1940"/>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291" t="s">
        <v>244</v>
      </c>
      <c r="G5" s="1278"/>
      <c r="H5" s="185"/>
      <c r="I5" s="1935" t="s">
        <v>388</v>
      </c>
      <c r="J5" s="1935"/>
      <c r="K5" s="1935"/>
      <c r="L5" s="1936"/>
      <c r="M5" s="1388" t="s">
        <v>22</v>
      </c>
      <c r="N5" s="1388"/>
      <c r="O5" s="58"/>
      <c r="P5" s="238"/>
      <c r="Q5" s="1789" t="s">
        <v>302</v>
      </c>
      <c r="R5" s="1790"/>
      <c r="S5" s="1790"/>
      <c r="T5" s="1790"/>
      <c r="U5" s="1790"/>
      <c r="V5" s="1790"/>
      <c r="W5" s="1791"/>
      <c r="Y5" s="172" t="s">
        <v>31</v>
      </c>
      <c r="Z5" s="176">
        <f>SUMIF($G$16:$G$41,"STATE",$K$16:$K$41)</f>
        <v>79</v>
      </c>
      <c r="AA5" s="176">
        <f>SUMIF($G$16:$G$41,"STATE",$S$16:$S$41)</f>
        <v>0</v>
      </c>
    </row>
    <row r="6" spans="1:28" s="57" customFormat="1" ht="16.5" thickBot="1" x14ac:dyDescent="0.25">
      <c r="A6" s="1384" t="s">
        <v>12</v>
      </c>
      <c r="B6" s="1385"/>
      <c r="C6" s="1385"/>
      <c r="D6" s="1289"/>
      <c r="E6" s="1290"/>
      <c r="F6" s="1291" t="s">
        <v>20</v>
      </c>
      <c r="G6" s="1278"/>
      <c r="H6" s="185"/>
      <c r="I6" s="1935" t="s">
        <v>389</v>
      </c>
      <c r="J6" s="1935"/>
      <c r="K6" s="1935"/>
      <c r="L6" s="1936"/>
      <c r="M6" s="1389" t="s">
        <v>233</v>
      </c>
      <c r="N6" s="1389"/>
      <c r="O6" s="212">
        <f>O4+O5*10</f>
        <v>0</v>
      </c>
      <c r="P6" s="238"/>
      <c r="Q6" s="1786" t="s">
        <v>573</v>
      </c>
      <c r="R6" s="1787"/>
      <c r="S6" s="1787"/>
      <c r="T6" s="1787"/>
      <c r="U6" s="1787"/>
      <c r="V6" s="1787"/>
      <c r="W6" s="1788"/>
      <c r="Y6" s="172" t="s">
        <v>32</v>
      </c>
      <c r="Z6" s="176">
        <f>SUMIF($G$16:$G$41,"COUNTY",$K$16:$K$41)</f>
        <v>0</v>
      </c>
      <c r="AA6" s="176">
        <f>SUMIF($G$16:$G$41,"COUNTY",$S$16:$S$41)</f>
        <v>0</v>
      </c>
    </row>
    <row r="7" spans="1:28" s="57" customFormat="1" ht="16.5" thickBot="1" x14ac:dyDescent="0.25">
      <c r="A7" s="1384" t="s">
        <v>5</v>
      </c>
      <c r="B7" s="1385"/>
      <c r="C7" s="1385"/>
      <c r="D7" s="1282"/>
      <c r="E7" s="1283"/>
      <c r="F7" s="1284" t="s">
        <v>21</v>
      </c>
      <c r="G7" s="1285"/>
      <c r="H7" s="186"/>
      <c r="I7" s="1933" t="s">
        <v>3</v>
      </c>
      <c r="J7" s="1933"/>
      <c r="K7" s="1933"/>
      <c r="L7" s="1948"/>
      <c r="M7" s="235"/>
      <c r="N7" s="242"/>
      <c r="O7" s="236"/>
      <c r="P7" s="238"/>
      <c r="Q7" s="1778" t="s">
        <v>235</v>
      </c>
      <c r="R7" s="1779"/>
      <c r="S7" s="1779"/>
      <c r="T7" s="1779"/>
      <c r="U7" s="1779"/>
      <c r="V7" s="1779"/>
      <c r="W7" s="1780"/>
      <c r="Y7" s="172" t="s">
        <v>52</v>
      </c>
      <c r="Z7" s="176">
        <f>SUMIF($G$16:$G$41,"CITY",$K$16:$K$41)</f>
        <v>0</v>
      </c>
      <c r="AA7" s="176">
        <f>SUMIF($G$16:$G$41,"CITY",$S$16:$S$41)</f>
        <v>0</v>
      </c>
    </row>
    <row r="8" spans="1:28" s="57" customFormat="1" ht="15.75" customHeight="1" x14ac:dyDescent="0.2">
      <c r="A8" s="1394" t="s">
        <v>434</v>
      </c>
      <c r="B8" s="1395"/>
      <c r="C8" s="1395"/>
      <c r="D8" s="1282" t="s">
        <v>437</v>
      </c>
      <c r="E8" s="1283"/>
      <c r="F8" s="1332" t="s">
        <v>382</v>
      </c>
      <c r="G8" s="1334"/>
      <c r="H8" s="187"/>
      <c r="I8" s="1939"/>
      <c r="J8" s="1939"/>
      <c r="K8" s="1939"/>
      <c r="L8" s="1940"/>
      <c r="M8" s="1333" t="s">
        <v>257</v>
      </c>
      <c r="N8" s="1333"/>
      <c r="O8" s="55">
        <v>0</v>
      </c>
      <c r="P8" s="239"/>
      <c r="Q8" s="1772" t="s">
        <v>303</v>
      </c>
      <c r="R8" s="1726"/>
      <c r="S8" s="1726"/>
      <c r="T8" s="1726"/>
      <c r="U8" s="1726"/>
      <c r="V8" s="1726"/>
      <c r="W8" s="1773"/>
      <c r="Y8" s="172" t="s">
        <v>230</v>
      </c>
      <c r="Z8" s="176">
        <f>SUMIF($G$16:$G$41,"COURT",$K$16:$K$41)</f>
        <v>0</v>
      </c>
      <c r="AA8" s="176">
        <f>SUMIF($G$16:$G$41,"COURT",$S$16:$S$41)</f>
        <v>0</v>
      </c>
    </row>
    <row r="9" spans="1:28" s="57" customFormat="1" ht="18" customHeight="1" thickBot="1" x14ac:dyDescent="0.25">
      <c r="A9" s="1402" t="s">
        <v>435</v>
      </c>
      <c r="B9" s="1403"/>
      <c r="C9" s="1403"/>
      <c r="D9" s="1282" t="s">
        <v>436</v>
      </c>
      <c r="E9" s="1283"/>
      <c r="F9" s="1291" t="s">
        <v>244</v>
      </c>
      <c r="G9" s="1278"/>
      <c r="H9" s="185"/>
      <c r="I9" s="1935"/>
      <c r="J9" s="1935"/>
      <c r="K9" s="1935"/>
      <c r="L9" s="1936"/>
      <c r="M9" s="1388" t="s">
        <v>22</v>
      </c>
      <c r="N9" s="1388"/>
      <c r="O9" s="58"/>
      <c r="P9" s="239"/>
      <c r="Q9" s="1774"/>
      <c r="R9" s="1729"/>
      <c r="S9" s="1729"/>
      <c r="T9" s="1729"/>
      <c r="U9" s="1729"/>
      <c r="V9" s="1729"/>
      <c r="W9" s="1775"/>
      <c r="Y9" s="153" t="s">
        <v>446</v>
      </c>
      <c r="Z9" s="176">
        <f>SUMIF($G$16:$G$41,"CNTY or CTY",$K$16:$K$41)</f>
        <v>0</v>
      </c>
      <c r="AA9" s="176">
        <f>SUMIF($G$16:$G$41,"CNTY or CTY",$S$16:$S$41)</f>
        <v>0</v>
      </c>
    </row>
    <row r="10" spans="1:28" s="57" customFormat="1" ht="16.5" customHeight="1" thickBot="1" x14ac:dyDescent="0.25">
      <c r="A10" s="1436" t="s">
        <v>276</v>
      </c>
      <c r="B10" s="1437"/>
      <c r="C10" s="1437"/>
      <c r="D10" s="1651">
        <f>O6+O10</f>
        <v>0</v>
      </c>
      <c r="E10" s="1652"/>
      <c r="F10" s="1291" t="s">
        <v>20</v>
      </c>
      <c r="G10" s="1278"/>
      <c r="H10" s="185"/>
      <c r="I10" s="1935"/>
      <c r="J10" s="1935"/>
      <c r="K10" s="1935"/>
      <c r="L10" s="1936"/>
      <c r="M10" s="1389" t="s">
        <v>233</v>
      </c>
      <c r="N10" s="1389"/>
      <c r="O10" s="212">
        <f>O8+O9*10</f>
        <v>0</v>
      </c>
      <c r="P10" s="240"/>
      <c r="Q10" s="1769" t="s">
        <v>239</v>
      </c>
      <c r="R10" s="1770"/>
      <c r="S10" s="1770"/>
      <c r="T10" s="1770"/>
      <c r="U10" s="1770"/>
      <c r="V10" s="1770"/>
      <c r="W10" s="1771"/>
      <c r="Y10" s="498" t="s">
        <v>246</v>
      </c>
      <c r="Z10" s="148">
        <f>SUM(Z5:Z9)</f>
        <v>79</v>
      </c>
      <c r="AA10" s="148">
        <f>SUM(AA5:AA9)</f>
        <v>0</v>
      </c>
    </row>
    <row r="11" spans="1:28" s="57" customFormat="1" ht="16.5" customHeight="1" thickBot="1" x14ac:dyDescent="0.25">
      <c r="A11" s="1439" t="s">
        <v>277</v>
      </c>
      <c r="B11" s="1440"/>
      <c r="C11" s="1440"/>
      <c r="D11" s="1649">
        <f>ROUNDUP(D10/10,0)</f>
        <v>0</v>
      </c>
      <c r="E11" s="1650"/>
      <c r="F11" s="1284" t="s">
        <v>21</v>
      </c>
      <c r="G11" s="1285"/>
      <c r="H11" s="186"/>
      <c r="I11" s="1933"/>
      <c r="J11" s="1933"/>
      <c r="K11" s="1933"/>
      <c r="L11" s="1948"/>
      <c r="M11" s="1400" t="s">
        <v>568</v>
      </c>
      <c r="N11" s="1847"/>
      <c r="O11" s="780">
        <f>'1-DUI (Reduce Base)'!P11</f>
        <v>5</v>
      </c>
      <c r="P11" s="240"/>
      <c r="Q11" s="1755" t="s">
        <v>430</v>
      </c>
      <c r="R11" s="1756"/>
      <c r="S11" s="1756"/>
      <c r="T11" s="1756"/>
      <c r="U11" s="1756"/>
      <c r="V11" s="1756"/>
      <c r="W11" s="175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508">
        <v>0.02</v>
      </c>
      <c r="B14" s="508" t="s">
        <v>58</v>
      </c>
      <c r="C14" s="1364" t="s">
        <v>226</v>
      </c>
      <c r="D14" s="1365"/>
      <c r="E14" s="1365"/>
      <c r="F14" s="1366"/>
      <c r="G14" s="505" t="s">
        <v>249</v>
      </c>
      <c r="H14" s="114" t="s">
        <v>0</v>
      </c>
      <c r="I14" s="1805" t="s">
        <v>298</v>
      </c>
      <c r="J14" s="1747" t="s">
        <v>6</v>
      </c>
      <c r="K14" s="504" t="s">
        <v>299</v>
      </c>
      <c r="L14" s="67"/>
      <c r="M14" s="1716" t="s">
        <v>260</v>
      </c>
      <c r="N14" s="1717"/>
      <c r="O14" s="503" t="s">
        <v>248</v>
      </c>
      <c r="P14" s="121"/>
      <c r="Q14" s="690" t="s">
        <v>428</v>
      </c>
      <c r="R14" s="1747" t="s">
        <v>6</v>
      </c>
      <c r="S14" s="504" t="s">
        <v>299</v>
      </c>
      <c r="T14" s="228"/>
      <c r="U14" s="497" t="s">
        <v>256</v>
      </c>
      <c r="V14" s="1749" t="s">
        <v>61</v>
      </c>
      <c r="W14" s="1751" t="s">
        <v>384</v>
      </c>
    </row>
    <row r="15" spans="1:28" ht="30.75" customHeight="1" thickBot="1" x14ac:dyDescent="0.25">
      <c r="A15" s="509"/>
      <c r="B15" s="509"/>
      <c r="C15" s="1367"/>
      <c r="D15" s="1368"/>
      <c r="E15" s="1368"/>
      <c r="F15" s="1369"/>
      <c r="G15" s="507"/>
      <c r="H15" s="507"/>
      <c r="I15" s="1806"/>
      <c r="J15" s="1748"/>
      <c r="K15" s="244" t="s">
        <v>42</v>
      </c>
      <c r="L15" s="68"/>
      <c r="M15" s="1714"/>
      <c r="N15" s="1715"/>
      <c r="O15" s="297" t="s">
        <v>43</v>
      </c>
      <c r="P15" s="121"/>
      <c r="Q15" s="246" t="e">
        <f>(Q35-Q31)/(I35-I31)</f>
        <v>#DIV/0!</v>
      </c>
      <c r="R15" s="1748"/>
      <c r="S15" s="244" t="s">
        <v>44</v>
      </c>
      <c r="T15" s="228"/>
      <c r="U15" s="298" t="s">
        <v>300</v>
      </c>
      <c r="V15" s="1750"/>
      <c r="W15" s="1752"/>
    </row>
    <row r="16" spans="1:28" s="74" customFormat="1" ht="15.75" hidden="1" customHeight="1" thickTop="1" x14ac:dyDescent="0.2">
      <c r="A16" s="69" t="s">
        <v>8</v>
      </c>
      <c r="B16" s="195"/>
      <c r="C16" s="1692"/>
      <c r="D16" s="1692"/>
      <c r="E16" s="1692"/>
      <c r="F16" s="1692"/>
      <c r="G16" s="70"/>
      <c r="H16" s="71"/>
      <c r="I16" s="154"/>
      <c r="J16" s="162"/>
      <c r="K16" s="198"/>
      <c r="L16" s="164"/>
      <c r="M16" s="1731"/>
      <c r="N16" s="173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665"/>
      <c r="D17" s="1700"/>
      <c r="E17" s="1700"/>
      <c r="F17" s="1701"/>
      <c r="G17" s="76"/>
      <c r="H17" s="77"/>
      <c r="I17" s="156"/>
      <c r="J17" s="162"/>
      <c r="K17" s="167"/>
      <c r="L17" s="164"/>
      <c r="M17" s="1665"/>
      <c r="N17" s="1666"/>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972" t="s">
        <v>241</v>
      </c>
      <c r="C18" s="1692" t="s">
        <v>438</v>
      </c>
      <c r="D18" s="1692"/>
      <c r="E18" s="1692"/>
      <c r="F18" s="1692"/>
      <c r="G18" s="701" t="str">
        <f>IF(AND($D$9="Yes",$D$8="NA-City Arrest"), "CITY","COUNTY")</f>
        <v>COUNTY</v>
      </c>
      <c r="H18" s="77" t="s">
        <v>318</v>
      </c>
      <c r="I18" s="156">
        <f>$D$10*60%</f>
        <v>0</v>
      </c>
      <c r="J18" s="162">
        <f>IF(A18="Y",I18* 2%,0)</f>
        <v>0</v>
      </c>
      <c r="K18" s="167">
        <f>I18-J18</f>
        <v>0</v>
      </c>
      <c r="L18" s="164"/>
      <c r="M18" s="1665"/>
      <c r="N18" s="1666"/>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1972"/>
      <c r="C19" s="1692" t="s">
        <v>439</v>
      </c>
      <c r="D19" s="1692"/>
      <c r="E19" s="1692"/>
      <c r="F19" s="1692"/>
      <c r="G19" s="701" t="str">
        <f>IF(AND($D$9="Yes",$D$8="NA-City Arrest"), "CITY","COUNTY")</f>
        <v>COUNTY</v>
      </c>
      <c r="H19" s="77" t="s">
        <v>318</v>
      </c>
      <c r="I19" s="156">
        <f>$D$10*25%</f>
        <v>0</v>
      </c>
      <c r="J19" s="162">
        <f>IF(A19="Y",I19* 2%,0)</f>
        <v>0</v>
      </c>
      <c r="K19" s="167">
        <f>I19-J19</f>
        <v>0</v>
      </c>
      <c r="L19" s="164"/>
      <c r="M19" s="1665"/>
      <c r="N19" s="1666"/>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802"/>
      <c r="C20" s="1692" t="s">
        <v>440</v>
      </c>
      <c r="D20" s="1692"/>
      <c r="E20" s="1692"/>
      <c r="F20" s="1692"/>
      <c r="G20" s="701" t="str">
        <f>IF($D$8="Yes", "COUNTY", "CITY")</f>
        <v>CITY</v>
      </c>
      <c r="H20" s="77" t="s">
        <v>318</v>
      </c>
      <c r="I20" s="156">
        <f>$D$10*15%</f>
        <v>0</v>
      </c>
      <c r="J20" s="162">
        <f t="shared" ref="J20:J34" si="4">IF(A20="Y",I20* 2%,0)</f>
        <v>0</v>
      </c>
      <c r="K20" s="167">
        <f t="shared" ref="K20:K33" si="5">I20-J20</f>
        <v>0</v>
      </c>
      <c r="L20" s="164"/>
      <c r="M20" s="1665"/>
      <c r="N20" s="1666"/>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659" t="s">
        <v>546</v>
      </c>
      <c r="D21" s="1659"/>
      <c r="E21" s="1659"/>
      <c r="F21" s="1659"/>
      <c r="G21" s="694" t="s">
        <v>31</v>
      </c>
      <c r="H21" s="77" t="s">
        <v>26</v>
      </c>
      <c r="I21" s="155">
        <f>$D$11*B21</f>
        <v>0</v>
      </c>
      <c r="J21" s="162">
        <f t="shared" si="4"/>
        <v>0</v>
      </c>
      <c r="K21" s="167">
        <f t="shared" si="5"/>
        <v>0</v>
      </c>
      <c r="L21" s="164"/>
      <c r="M21" s="1665"/>
      <c r="N21" s="1666"/>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659" t="s">
        <v>547</v>
      </c>
      <c r="D22" s="1659"/>
      <c r="E22" s="1659"/>
      <c r="F22" s="1659"/>
      <c r="G22" s="694" t="s">
        <v>32</v>
      </c>
      <c r="H22" s="77" t="s">
        <v>27</v>
      </c>
      <c r="I22" s="155">
        <f t="shared" ref="I22:I33" si="6">$D$11*B22</f>
        <v>0</v>
      </c>
      <c r="J22" s="162">
        <f t="shared" si="4"/>
        <v>0</v>
      </c>
      <c r="K22" s="167">
        <f t="shared" si="5"/>
        <v>0</v>
      </c>
      <c r="L22" s="164"/>
      <c r="M22" s="1665"/>
      <c r="N22" s="1666"/>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665" t="s">
        <v>216</v>
      </c>
      <c r="D23" s="1700"/>
      <c r="E23" s="1700"/>
      <c r="F23" s="1701"/>
      <c r="G23" s="694" t="s">
        <v>32</v>
      </c>
      <c r="H23" s="77" t="s">
        <v>55</v>
      </c>
      <c r="I23" s="155">
        <f t="shared" si="6"/>
        <v>0</v>
      </c>
      <c r="J23" s="162">
        <f t="shared" si="4"/>
        <v>0</v>
      </c>
      <c r="K23" s="167">
        <f t="shared" si="5"/>
        <v>0</v>
      </c>
      <c r="L23" s="164"/>
      <c r="M23" s="1665"/>
      <c r="N23" s="1666"/>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665" t="s">
        <v>466</v>
      </c>
      <c r="D24" s="1700"/>
      <c r="E24" s="1700"/>
      <c r="F24" s="1701"/>
      <c r="G24" s="694" t="s">
        <v>31</v>
      </c>
      <c r="H24" s="77" t="s">
        <v>72</v>
      </c>
      <c r="I24" s="155">
        <f t="shared" si="6"/>
        <v>0</v>
      </c>
      <c r="J24" s="162">
        <f t="shared" si="4"/>
        <v>0</v>
      </c>
      <c r="K24" s="167">
        <f t="shared" si="5"/>
        <v>0</v>
      </c>
      <c r="L24" s="164"/>
      <c r="M24" s="1665"/>
      <c r="N24" s="1666"/>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6"/>
        <v>0</v>
      </c>
      <c r="J25" s="162">
        <f t="shared" si="4"/>
        <v>0</v>
      </c>
      <c r="K25" s="167">
        <f t="shared" si="5"/>
        <v>0</v>
      </c>
      <c r="L25" s="164"/>
      <c r="M25" s="1665"/>
      <c r="N25" s="1666"/>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659" t="s">
        <v>218</v>
      </c>
      <c r="D26" s="1659"/>
      <c r="E26" s="1741"/>
      <c r="F26" s="1742"/>
      <c r="G26" s="694" t="s">
        <v>32</v>
      </c>
      <c r="H26" s="77" t="s">
        <v>35</v>
      </c>
      <c r="I26" s="155">
        <f t="shared" si="6"/>
        <v>0</v>
      </c>
      <c r="J26" s="162">
        <f t="shared" si="4"/>
        <v>0</v>
      </c>
      <c r="K26" s="167">
        <f t="shared" si="5"/>
        <v>0</v>
      </c>
      <c r="L26" s="164"/>
      <c r="M26" s="1665"/>
      <c r="N26" s="1666"/>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659" t="s">
        <v>219</v>
      </c>
      <c r="D27" s="1659"/>
      <c r="E27" s="1741"/>
      <c r="F27" s="1742"/>
      <c r="G27" s="694" t="s">
        <v>32</v>
      </c>
      <c r="H27" s="77" t="s">
        <v>65</v>
      </c>
      <c r="I27" s="155">
        <f t="shared" si="6"/>
        <v>0</v>
      </c>
      <c r="J27" s="162">
        <f t="shared" si="4"/>
        <v>0</v>
      </c>
      <c r="K27" s="167">
        <f t="shared" si="5"/>
        <v>0</v>
      </c>
      <c r="L27" s="164"/>
      <c r="M27" s="1665"/>
      <c r="N27" s="1666"/>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659" t="s">
        <v>401</v>
      </c>
      <c r="D28" s="1659"/>
      <c r="E28" s="1741"/>
      <c r="F28" s="1742"/>
      <c r="G28" s="694" t="s">
        <v>32</v>
      </c>
      <c r="H28" s="77" t="s">
        <v>65</v>
      </c>
      <c r="I28" s="155">
        <f>$D$11*B28</f>
        <v>0</v>
      </c>
      <c r="J28" s="162">
        <f>IF(A28="Y",I28* 2%,0)</f>
        <v>0</v>
      </c>
      <c r="K28" s="167">
        <f>I28-J28</f>
        <v>0</v>
      </c>
      <c r="L28" s="164"/>
      <c r="M28" s="1665"/>
      <c r="N28" s="1666"/>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659" t="s">
        <v>254</v>
      </c>
      <c r="D29" s="1659"/>
      <c r="E29" s="1743"/>
      <c r="F29" s="1744"/>
      <c r="G29" s="694" t="s">
        <v>32</v>
      </c>
      <c r="H29" s="77"/>
      <c r="I29" s="155">
        <f t="shared" si="6"/>
        <v>0</v>
      </c>
      <c r="J29" s="162">
        <f t="shared" si="4"/>
        <v>0</v>
      </c>
      <c r="K29" s="167">
        <f t="shared" si="5"/>
        <v>0</v>
      </c>
      <c r="L29" s="164"/>
      <c r="M29" s="1665"/>
      <c r="N29" s="1666"/>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49" t="s">
        <v>286</v>
      </c>
      <c r="D30" s="1459"/>
      <c r="E30" s="1459"/>
      <c r="F30" s="1460"/>
      <c r="G30" s="702" t="s">
        <v>32</v>
      </c>
      <c r="H30" s="84" t="s">
        <v>36</v>
      </c>
      <c r="I30" s="155">
        <f t="shared" si="6"/>
        <v>0</v>
      </c>
      <c r="J30" s="162">
        <f t="shared" si="4"/>
        <v>0</v>
      </c>
      <c r="K30" s="167">
        <f t="shared" si="5"/>
        <v>0</v>
      </c>
      <c r="L30" s="164"/>
      <c r="M30" s="1665"/>
      <c r="N30" s="1666"/>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49" t="s">
        <v>385</v>
      </c>
      <c r="D31" s="1459"/>
      <c r="E31" s="1459"/>
      <c r="F31" s="1460"/>
      <c r="G31" s="702" t="s">
        <v>31</v>
      </c>
      <c r="H31" s="91" t="s">
        <v>39</v>
      </c>
      <c r="I31" s="204">
        <v>4</v>
      </c>
      <c r="J31" s="162">
        <f>IF(A31="Y", I31*2%,0)</f>
        <v>0.08</v>
      </c>
      <c r="K31" s="167">
        <f>I31-J31</f>
        <v>3.92</v>
      </c>
      <c r="L31" s="164"/>
      <c r="M31" s="1665"/>
      <c r="N31" s="1666"/>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449" t="s">
        <v>555</v>
      </c>
      <c r="D32" s="1459"/>
      <c r="E32" s="1460"/>
      <c r="F32" s="1591" t="s">
        <v>281</v>
      </c>
      <c r="G32" s="702" t="s">
        <v>31</v>
      </c>
      <c r="H32" s="84" t="s">
        <v>37</v>
      </c>
      <c r="I32" s="155">
        <f t="shared" si="6"/>
        <v>0</v>
      </c>
      <c r="J32" s="162">
        <f t="shared" si="4"/>
        <v>0</v>
      </c>
      <c r="K32" s="167">
        <f t="shared" si="5"/>
        <v>0</v>
      </c>
      <c r="L32" s="164"/>
      <c r="M32" s="1665"/>
      <c r="N32" s="1666"/>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449" t="s">
        <v>556</v>
      </c>
      <c r="D33" s="1459"/>
      <c r="E33" s="1460"/>
      <c r="F33" s="1592"/>
      <c r="G33" s="702" t="s">
        <v>31</v>
      </c>
      <c r="H33" s="84" t="s">
        <v>197</v>
      </c>
      <c r="I33" s="155">
        <f t="shared" si="6"/>
        <v>0</v>
      </c>
      <c r="J33" s="162">
        <f t="shared" si="4"/>
        <v>0</v>
      </c>
      <c r="K33" s="167">
        <f t="shared" si="5"/>
        <v>0</v>
      </c>
      <c r="L33" s="164"/>
      <c r="M33" s="1665"/>
      <c r="N33" s="1666"/>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49" t="s">
        <v>220</v>
      </c>
      <c r="D34" s="1459"/>
      <c r="E34" s="1459"/>
      <c r="F34" s="1460"/>
      <c r="G34" s="702" t="s">
        <v>31</v>
      </c>
      <c r="H34" s="84" t="s">
        <v>10</v>
      </c>
      <c r="I34" s="155">
        <f>$D$10*20%</f>
        <v>0</v>
      </c>
      <c r="J34" s="162">
        <f t="shared" si="4"/>
        <v>0</v>
      </c>
      <c r="K34" s="167">
        <f>I34-J34</f>
        <v>0</v>
      </c>
      <c r="L34" s="164"/>
      <c r="M34" s="1665"/>
      <c r="N34" s="1666"/>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456" t="s">
        <v>221</v>
      </c>
      <c r="D35" s="1694"/>
      <c r="E35" s="1694"/>
      <c r="F35" s="1695"/>
      <c r="G35" s="703"/>
      <c r="H35" s="88"/>
      <c r="I35" s="157">
        <f>SUM(I16:I34)</f>
        <v>4</v>
      </c>
      <c r="J35" s="162"/>
      <c r="K35" s="168">
        <f>SUM(K16:K34)</f>
        <v>3.92</v>
      </c>
      <c r="L35" s="165"/>
      <c r="M35" s="1449"/>
      <c r="N35" s="1699"/>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49" t="s">
        <v>419</v>
      </c>
      <c r="D36" s="1459"/>
      <c r="E36" s="1459"/>
      <c r="F36" s="1460"/>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446" t="s">
        <v>259</v>
      </c>
      <c r="D37" s="1447"/>
      <c r="E37" s="1447"/>
      <c r="F37" s="1448"/>
      <c r="G37" s="704" t="s">
        <v>31</v>
      </c>
      <c r="H37" s="92" t="s">
        <v>197</v>
      </c>
      <c r="I37" s="204">
        <v>35</v>
      </c>
      <c r="J37" s="162">
        <f t="shared" ref="J37:J40" si="8">IF(A37="Y", I37*2%,0)</f>
        <v>0</v>
      </c>
      <c r="K37" s="167">
        <f t="shared" ref="K37:K40" si="9">I37-J37</f>
        <v>35</v>
      </c>
      <c r="L37" s="164"/>
      <c r="M37" s="1665"/>
      <c r="N37" s="1666"/>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446" t="s">
        <v>421</v>
      </c>
      <c r="D38" s="1447"/>
      <c r="E38" s="1447"/>
      <c r="F38" s="1448"/>
      <c r="G38" s="704" t="s">
        <v>230</v>
      </c>
      <c r="H38" s="92" t="s">
        <v>24</v>
      </c>
      <c r="I38" s="204"/>
      <c r="J38" s="162">
        <f t="shared" si="8"/>
        <v>0</v>
      </c>
      <c r="K38" s="167">
        <f t="shared" si="9"/>
        <v>0</v>
      </c>
      <c r="L38" s="164"/>
      <c r="M38" s="1665"/>
      <c r="N38" s="1666"/>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449" t="s">
        <v>517</v>
      </c>
      <c r="D39" s="1459"/>
      <c r="E39" s="1459"/>
      <c r="F39" s="1460"/>
      <c r="G39" s="704" t="s">
        <v>230</v>
      </c>
      <c r="H39" s="92" t="s">
        <v>82</v>
      </c>
      <c r="I39" s="204"/>
      <c r="J39" s="162">
        <f t="shared" si="8"/>
        <v>0</v>
      </c>
      <c r="K39" s="167">
        <f t="shared" si="9"/>
        <v>0</v>
      </c>
      <c r="L39" s="164"/>
      <c r="M39" s="1665"/>
      <c r="N39" s="1666"/>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446" t="s">
        <v>225</v>
      </c>
      <c r="D40" s="1447"/>
      <c r="E40" s="1447"/>
      <c r="F40" s="1448"/>
      <c r="G40" s="704" t="s">
        <v>31</v>
      </c>
      <c r="H40" s="92" t="s">
        <v>80</v>
      </c>
      <c r="I40" s="204"/>
      <c r="J40" s="162">
        <f t="shared" si="8"/>
        <v>0</v>
      </c>
      <c r="K40" s="167">
        <f t="shared" si="9"/>
        <v>0</v>
      </c>
      <c r="L40" s="164"/>
      <c r="M40" s="1665"/>
      <c r="N40" s="1666"/>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665" t="s">
        <v>492</v>
      </c>
      <c r="D41" s="1700"/>
      <c r="E41" s="1700"/>
      <c r="F41" s="1701"/>
      <c r="G41" s="705" t="s">
        <v>31</v>
      </c>
      <c r="H41" s="96" t="s">
        <v>41</v>
      </c>
      <c r="I41" s="97"/>
      <c r="J41" s="163"/>
      <c r="K41" s="169">
        <f>J42</f>
        <v>0.08</v>
      </c>
      <c r="L41" s="164"/>
      <c r="M41" s="1665"/>
      <c r="N41" s="1666"/>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736" t="s">
        <v>61</v>
      </c>
      <c r="B44" s="1736"/>
      <c r="C44" s="1736"/>
      <c r="D44" s="210"/>
      <c r="E44" s="133"/>
      <c r="F44" s="133"/>
      <c r="K44" s="135"/>
      <c r="L44" s="136"/>
      <c r="P44" s="137"/>
      <c r="Q44" s="137"/>
      <c r="R44" s="137"/>
      <c r="S44" s="137"/>
      <c r="T44" s="137"/>
      <c r="U44" s="138"/>
      <c r="V44" s="138"/>
      <c r="W44" s="139"/>
    </row>
    <row r="45" spans="1:28" s="141" customFormat="1" ht="18" customHeight="1" x14ac:dyDescent="0.2">
      <c r="A45" s="769">
        <v>1</v>
      </c>
      <c r="B45" s="1648"/>
      <c r="C45" s="1648"/>
      <c r="D45" s="1648"/>
      <c r="E45" s="1648"/>
      <c r="F45" s="1648"/>
      <c r="G45" s="1648"/>
      <c r="H45" s="1648"/>
      <c r="I45" s="1648"/>
      <c r="J45" s="1648"/>
      <c r="K45" s="1648"/>
      <c r="L45" s="1648"/>
      <c r="M45" s="1648"/>
      <c r="N45" s="1648"/>
      <c r="O45" s="1648"/>
      <c r="P45" s="1648"/>
      <c r="Q45" s="1648"/>
      <c r="R45" s="1648"/>
      <c r="S45" s="1648"/>
      <c r="T45" s="1648"/>
      <c r="U45" s="1648"/>
      <c r="V45" s="1648"/>
      <c r="W45" s="1648"/>
      <c r="X45" s="553"/>
    </row>
    <row r="46" spans="1:28" s="141" customFormat="1" ht="18" customHeight="1" x14ac:dyDescent="0.2">
      <c r="A46" s="769">
        <v>2</v>
      </c>
      <c r="B46" s="1648"/>
      <c r="C46" s="1648"/>
      <c r="D46" s="1648"/>
      <c r="E46" s="1648"/>
      <c r="F46" s="1648"/>
      <c r="G46" s="1648"/>
      <c r="H46" s="1648"/>
      <c r="I46" s="1648"/>
      <c r="J46" s="1648"/>
      <c r="K46" s="1648"/>
      <c r="L46" s="1648"/>
      <c r="M46" s="1648"/>
      <c r="N46" s="1648"/>
      <c r="O46" s="1648"/>
      <c r="P46" s="1648"/>
      <c r="Q46" s="1648"/>
      <c r="R46" s="1648"/>
      <c r="S46" s="1648"/>
      <c r="T46" s="1648"/>
      <c r="U46" s="1648"/>
      <c r="V46" s="1648"/>
      <c r="W46" s="1648"/>
    </row>
    <row r="47" spans="1:28" s="141" customFormat="1" ht="18" customHeight="1" x14ac:dyDescent="0.2">
      <c r="A47" s="769">
        <v>3</v>
      </c>
      <c r="B47" s="1648"/>
      <c r="C47" s="1648"/>
      <c r="D47" s="1648"/>
      <c r="E47" s="1648"/>
      <c r="F47" s="1648"/>
      <c r="G47" s="1648"/>
      <c r="H47" s="1648"/>
      <c r="I47" s="1648"/>
      <c r="J47" s="1648"/>
      <c r="K47" s="1648"/>
      <c r="L47" s="1648"/>
      <c r="M47" s="1648"/>
      <c r="N47" s="1648"/>
      <c r="O47" s="1648"/>
      <c r="P47" s="1648"/>
      <c r="Q47" s="1648"/>
      <c r="R47" s="1648"/>
      <c r="S47" s="1648"/>
      <c r="T47" s="1648"/>
      <c r="U47" s="1648"/>
      <c r="V47" s="1648"/>
      <c r="W47" s="1648"/>
    </row>
    <row r="48" spans="1:28" s="54" customFormat="1" ht="21" customHeight="1" x14ac:dyDescent="0.2">
      <c r="A48" s="769">
        <v>4</v>
      </c>
      <c r="B48" s="1648"/>
      <c r="C48" s="1648"/>
      <c r="D48" s="1648"/>
      <c r="E48" s="1648"/>
      <c r="F48" s="1648"/>
      <c r="G48" s="1648"/>
      <c r="H48" s="1648"/>
      <c r="I48" s="1648"/>
      <c r="J48" s="1648"/>
      <c r="K48" s="1648"/>
      <c r="L48" s="1648"/>
      <c r="M48" s="1648"/>
      <c r="N48" s="1648"/>
      <c r="O48" s="1648"/>
      <c r="P48" s="1648"/>
      <c r="Q48" s="1648"/>
      <c r="R48" s="1648"/>
      <c r="S48" s="1648"/>
      <c r="T48" s="1648"/>
      <c r="U48" s="1648"/>
      <c r="V48" s="1648"/>
      <c r="W48" s="1648"/>
    </row>
  </sheetData>
  <sheetProtection insertRows="0"/>
  <mergeCells count="120">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69" t="s">
        <v>441</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6"/>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32" t="s">
        <v>28</v>
      </c>
      <c r="G4" s="1334"/>
      <c r="H4" s="187"/>
      <c r="I4" s="1939" t="s">
        <v>387</v>
      </c>
      <c r="J4" s="1939"/>
      <c r="K4" s="1939"/>
      <c r="L4" s="1940"/>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291" t="s">
        <v>244</v>
      </c>
      <c r="G5" s="1278"/>
      <c r="H5" s="185"/>
      <c r="I5" s="1935" t="s">
        <v>388</v>
      </c>
      <c r="J5" s="1935"/>
      <c r="K5" s="1935"/>
      <c r="L5" s="1936"/>
      <c r="M5" s="1388" t="s">
        <v>22</v>
      </c>
      <c r="N5" s="1388"/>
      <c r="O5" s="58"/>
      <c r="P5" s="238"/>
      <c r="Q5" s="1789" t="s">
        <v>302</v>
      </c>
      <c r="R5" s="1790"/>
      <c r="S5" s="1790"/>
      <c r="T5" s="1790"/>
      <c r="U5" s="1790"/>
      <c r="V5" s="1790"/>
      <c r="W5" s="1791"/>
      <c r="Y5" s="172" t="s">
        <v>31</v>
      </c>
      <c r="Z5" s="176">
        <f>SUMIF($G$16:$G$46,"STATE",$K$16:$K$46)</f>
        <v>82</v>
      </c>
      <c r="AA5" s="176">
        <f>SUMIF($G$16:$G$46,"STATE",$S$16:$S$46)</f>
        <v>0</v>
      </c>
    </row>
    <row r="6" spans="1:28" s="57" customFormat="1" ht="16.5" thickBot="1" x14ac:dyDescent="0.25">
      <c r="A6" s="1384" t="s">
        <v>12</v>
      </c>
      <c r="B6" s="1385"/>
      <c r="C6" s="1385"/>
      <c r="D6" s="1289"/>
      <c r="E6" s="1290"/>
      <c r="F6" s="1291" t="s">
        <v>20</v>
      </c>
      <c r="G6" s="1278"/>
      <c r="H6" s="185"/>
      <c r="I6" s="1935" t="s">
        <v>389</v>
      </c>
      <c r="J6" s="1935"/>
      <c r="K6" s="1935"/>
      <c r="L6" s="1936"/>
      <c r="M6" s="1389" t="s">
        <v>233</v>
      </c>
      <c r="N6" s="1389"/>
      <c r="O6" s="212">
        <f>O4+O5*10</f>
        <v>0</v>
      </c>
      <c r="P6" s="238"/>
      <c r="Q6" s="1786" t="s">
        <v>573</v>
      </c>
      <c r="R6" s="1787"/>
      <c r="S6" s="1787"/>
      <c r="T6" s="1787"/>
      <c r="U6" s="1787"/>
      <c r="V6" s="1787"/>
      <c r="W6" s="1788"/>
      <c r="Y6" s="172" t="s">
        <v>32</v>
      </c>
      <c r="Z6" s="176">
        <f>SUMIF($G$16:$G$46,"COUNTY",$K$16:$K$46)</f>
        <v>49</v>
      </c>
      <c r="AA6" s="176">
        <f>SUMIF($G$16:$G$46,"COUNTY",$S$16:$S$46)</f>
        <v>0</v>
      </c>
    </row>
    <row r="7" spans="1:28" s="57" customFormat="1" ht="16.5" thickBot="1" x14ac:dyDescent="0.25">
      <c r="A7" s="1384" t="s">
        <v>5</v>
      </c>
      <c r="B7" s="1385"/>
      <c r="C7" s="1385"/>
      <c r="D7" s="1282"/>
      <c r="E7" s="1283"/>
      <c r="F7" s="1284" t="s">
        <v>21</v>
      </c>
      <c r="G7" s="1285"/>
      <c r="H7" s="186"/>
      <c r="I7" s="1933" t="s">
        <v>66</v>
      </c>
      <c r="J7" s="1933"/>
      <c r="K7" s="1933"/>
      <c r="L7" s="1948"/>
      <c r="M7" s="235"/>
      <c r="N7" s="242"/>
      <c r="O7" s="236"/>
      <c r="P7" s="238"/>
      <c r="Q7" s="1778" t="s">
        <v>235</v>
      </c>
      <c r="R7" s="1779"/>
      <c r="S7" s="1779"/>
      <c r="T7" s="1779"/>
      <c r="U7" s="1779"/>
      <c r="V7" s="1779"/>
      <c r="W7" s="1780"/>
      <c r="Y7" s="172" t="s">
        <v>52</v>
      </c>
      <c r="Z7" s="176">
        <f>SUMIF($G$16:$G$46,"CITY",$K$16:$K$46)</f>
        <v>0</v>
      </c>
      <c r="AA7" s="176">
        <f>SUMIF($G$16:$G$46,"CITY",$S$16:$S$46)</f>
        <v>0</v>
      </c>
    </row>
    <row r="8" spans="1:28" s="57" customFormat="1" ht="15.75" customHeight="1" x14ac:dyDescent="0.2">
      <c r="A8" s="1394" t="s">
        <v>434</v>
      </c>
      <c r="B8" s="1395"/>
      <c r="C8" s="1395"/>
      <c r="D8" s="1282" t="s">
        <v>436</v>
      </c>
      <c r="E8" s="1283"/>
      <c r="F8" s="1332" t="s">
        <v>253</v>
      </c>
      <c r="G8" s="1334"/>
      <c r="H8" s="187"/>
      <c r="I8" s="1939"/>
      <c r="J8" s="1939"/>
      <c r="K8" s="1939"/>
      <c r="L8" s="1940"/>
      <c r="M8" s="1333" t="s">
        <v>257</v>
      </c>
      <c r="N8" s="1333"/>
      <c r="O8" s="55"/>
      <c r="P8" s="239"/>
      <c r="Q8" s="1772" t="s">
        <v>303</v>
      </c>
      <c r="R8" s="1726"/>
      <c r="S8" s="1726"/>
      <c r="T8" s="1726"/>
      <c r="U8" s="1726"/>
      <c r="V8" s="1726"/>
      <c r="W8" s="1773"/>
      <c r="Y8" s="172" t="s">
        <v>230</v>
      </c>
      <c r="Z8" s="176">
        <f>SUMIF($G$16:$G$46,"COURT",$K$16:$K$46)</f>
        <v>0</v>
      </c>
      <c r="AA8" s="176">
        <f>SUMIF($G$16:$G$46,"COURT",$S$16:$S$46)</f>
        <v>0</v>
      </c>
    </row>
    <row r="9" spans="1:28" s="57" customFormat="1" ht="18" customHeight="1" thickBot="1" x14ac:dyDescent="0.25">
      <c r="A9" s="1402" t="s">
        <v>435</v>
      </c>
      <c r="B9" s="1403"/>
      <c r="C9" s="1403"/>
      <c r="D9" s="1282" t="s">
        <v>437</v>
      </c>
      <c r="E9" s="1283"/>
      <c r="F9" s="1291" t="s">
        <v>244</v>
      </c>
      <c r="G9" s="1278"/>
      <c r="H9" s="185"/>
      <c r="I9" s="1935"/>
      <c r="J9" s="1935"/>
      <c r="K9" s="1935"/>
      <c r="L9" s="1936"/>
      <c r="M9" s="1388" t="s">
        <v>22</v>
      </c>
      <c r="N9" s="1388"/>
      <c r="O9" s="58"/>
      <c r="P9" s="239"/>
      <c r="Q9" s="1774"/>
      <c r="R9" s="1729"/>
      <c r="S9" s="1729"/>
      <c r="T9" s="1729"/>
      <c r="U9" s="1729"/>
      <c r="V9" s="1729"/>
      <c r="W9" s="1775"/>
      <c r="Y9" s="153" t="s">
        <v>446</v>
      </c>
      <c r="Z9" s="176">
        <f>SUMIF($G$16:$G$46,"CNTY or CTY",$K$16:$K$46)</f>
        <v>0</v>
      </c>
      <c r="AA9" s="176">
        <f>SUMIF($G$16:$G$46,"CNTY or CTY",$S$16:$S$46)</f>
        <v>0</v>
      </c>
    </row>
    <row r="10" spans="1:28" s="57" customFormat="1" ht="16.5" customHeight="1" thickBot="1" x14ac:dyDescent="0.25">
      <c r="A10" s="1436" t="s">
        <v>276</v>
      </c>
      <c r="B10" s="1437"/>
      <c r="C10" s="1437"/>
      <c r="D10" s="1651">
        <f>O6+O10</f>
        <v>0</v>
      </c>
      <c r="E10" s="1652"/>
      <c r="F10" s="1291" t="s">
        <v>20</v>
      </c>
      <c r="G10" s="1278"/>
      <c r="H10" s="185"/>
      <c r="I10" s="1935"/>
      <c r="J10" s="1935"/>
      <c r="K10" s="1935"/>
      <c r="L10" s="1936"/>
      <c r="M10" s="1389" t="s">
        <v>233</v>
      </c>
      <c r="N10" s="1389"/>
      <c r="O10" s="212">
        <f>O8+O9*10</f>
        <v>0</v>
      </c>
      <c r="P10" s="240"/>
      <c r="Q10" s="1769" t="s">
        <v>239</v>
      </c>
      <c r="R10" s="1770"/>
      <c r="S10" s="1770"/>
      <c r="T10" s="1770"/>
      <c r="U10" s="1770"/>
      <c r="V10" s="1770"/>
      <c r="W10" s="1771"/>
      <c r="Y10" s="522" t="s">
        <v>246</v>
      </c>
      <c r="Z10" s="148">
        <f>SUM(Z5:Z9)</f>
        <v>131</v>
      </c>
      <c r="AA10" s="148">
        <f>SUM(AA5:AA9)</f>
        <v>0</v>
      </c>
    </row>
    <row r="11" spans="1:28" s="57" customFormat="1" ht="16.5" customHeight="1" thickBot="1" x14ac:dyDescent="0.25">
      <c r="A11" s="1439" t="s">
        <v>277</v>
      </c>
      <c r="B11" s="1440"/>
      <c r="C11" s="1440"/>
      <c r="D11" s="1649">
        <f>ROUNDUP(D10/10,0)</f>
        <v>0</v>
      </c>
      <c r="E11" s="1650"/>
      <c r="F11" s="1284" t="s">
        <v>21</v>
      </c>
      <c r="G11" s="1285"/>
      <c r="H11" s="186"/>
      <c r="I11" s="1933"/>
      <c r="J11" s="1933"/>
      <c r="K11" s="1933"/>
      <c r="L11" s="1948"/>
      <c r="M11" s="1400" t="s">
        <v>568</v>
      </c>
      <c r="N11" s="1401"/>
      <c r="O11" s="780">
        <f>'1-DUI (Reduce Base)'!P11</f>
        <v>5</v>
      </c>
      <c r="P11" s="240"/>
      <c r="Q11" s="1755" t="s">
        <v>430</v>
      </c>
      <c r="R11" s="1756"/>
      <c r="S11" s="1756"/>
      <c r="T11" s="1756"/>
      <c r="U11" s="1756"/>
      <c r="V11" s="1756"/>
      <c r="W11" s="1757"/>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529">
        <v>0.02</v>
      </c>
      <c r="B14" s="529" t="s">
        <v>58</v>
      </c>
      <c r="C14" s="1364" t="s">
        <v>226</v>
      </c>
      <c r="D14" s="1365"/>
      <c r="E14" s="1365"/>
      <c r="F14" s="1366"/>
      <c r="G14" s="527" t="s">
        <v>249</v>
      </c>
      <c r="H14" s="114" t="s">
        <v>0</v>
      </c>
      <c r="I14" s="1805" t="s">
        <v>298</v>
      </c>
      <c r="J14" s="1747" t="s">
        <v>6</v>
      </c>
      <c r="K14" s="526" t="s">
        <v>299</v>
      </c>
      <c r="L14" s="67"/>
      <c r="M14" s="1716" t="s">
        <v>260</v>
      </c>
      <c r="N14" s="1717"/>
      <c r="O14" s="525" t="s">
        <v>248</v>
      </c>
      <c r="P14" s="121"/>
      <c r="Q14" s="690" t="s">
        <v>428</v>
      </c>
      <c r="R14" s="1747" t="s">
        <v>6</v>
      </c>
      <c r="S14" s="526" t="s">
        <v>299</v>
      </c>
      <c r="T14" s="228"/>
      <c r="U14" s="521" t="s">
        <v>256</v>
      </c>
      <c r="V14" s="1749" t="s">
        <v>61</v>
      </c>
      <c r="W14" s="1751" t="s">
        <v>384</v>
      </c>
    </row>
    <row r="15" spans="1:28" ht="30.75" customHeight="1" thickBot="1" x14ac:dyDescent="0.25">
      <c r="A15" s="530"/>
      <c r="B15" s="530"/>
      <c r="C15" s="1367"/>
      <c r="D15" s="1368"/>
      <c r="E15" s="1368"/>
      <c r="F15" s="1369"/>
      <c r="G15" s="528"/>
      <c r="H15" s="528"/>
      <c r="I15" s="1806"/>
      <c r="J15" s="1748"/>
      <c r="K15" s="244" t="s">
        <v>42</v>
      </c>
      <c r="L15" s="68"/>
      <c r="M15" s="1714"/>
      <c r="N15" s="1715"/>
      <c r="O15" s="297" t="s">
        <v>43</v>
      </c>
      <c r="P15" s="121"/>
      <c r="Q15" s="246" t="e">
        <f>(Q35-Q31)/(I35-I31)</f>
        <v>#DIV/0!</v>
      </c>
      <c r="R15" s="1748"/>
      <c r="S15" s="244" t="s">
        <v>44</v>
      </c>
      <c r="T15" s="228"/>
      <c r="U15" s="298" t="s">
        <v>300</v>
      </c>
      <c r="V15" s="1750"/>
      <c r="W15" s="1752"/>
    </row>
    <row r="16" spans="1:28" s="74" customFormat="1" ht="15.75" hidden="1" customHeight="1" thickTop="1" x14ac:dyDescent="0.2">
      <c r="A16" s="69" t="s">
        <v>8</v>
      </c>
      <c r="B16" s="195"/>
      <c r="C16" s="1692"/>
      <c r="D16" s="1692"/>
      <c r="E16" s="1692"/>
      <c r="F16" s="1692"/>
      <c r="G16" s="70"/>
      <c r="H16" s="71"/>
      <c r="I16" s="154"/>
      <c r="J16" s="162"/>
      <c r="K16" s="198"/>
      <c r="L16" s="164"/>
      <c r="M16" s="1731"/>
      <c r="N16" s="173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665"/>
      <c r="D17" s="1700"/>
      <c r="E17" s="1700"/>
      <c r="F17" s="1701"/>
      <c r="G17" s="76"/>
      <c r="H17" s="77"/>
      <c r="I17" s="156"/>
      <c r="J17" s="162"/>
      <c r="K17" s="167"/>
      <c r="L17" s="164"/>
      <c r="M17" s="1665"/>
      <c r="N17" s="1666"/>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972" t="s">
        <v>241</v>
      </c>
      <c r="C18" s="1692" t="s">
        <v>438</v>
      </c>
      <c r="D18" s="1692"/>
      <c r="E18" s="1692"/>
      <c r="F18" s="1692"/>
      <c r="G18" s="701" t="str">
        <f>IF(AND($D$9="Yes",$D$8="NA-City Arrest"), "CITY","COUNTY")</f>
        <v>COUNTY</v>
      </c>
      <c r="H18" s="77" t="s">
        <v>318</v>
      </c>
      <c r="I18" s="156">
        <f>$D$10*60%</f>
        <v>0</v>
      </c>
      <c r="J18" s="162">
        <f>IF(A18="Y",I18* 2%,0)</f>
        <v>0</v>
      </c>
      <c r="K18" s="167">
        <f>I18-J18</f>
        <v>0</v>
      </c>
      <c r="L18" s="164"/>
      <c r="M18" s="1665"/>
      <c r="N18" s="1666"/>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1972"/>
      <c r="C19" s="1692" t="s">
        <v>439</v>
      </c>
      <c r="D19" s="1692"/>
      <c r="E19" s="1692"/>
      <c r="F19" s="1692"/>
      <c r="G19" s="701" t="str">
        <f>IF(AND($D$9="Yes",$D$8="NA-City Arrest"), "CITY","COUNTY")</f>
        <v>COUNTY</v>
      </c>
      <c r="H19" s="77" t="s">
        <v>318</v>
      </c>
      <c r="I19" s="156">
        <f>$D$10*25%</f>
        <v>0</v>
      </c>
      <c r="J19" s="162">
        <f>IF(A19="Y",I19* 2%,0)</f>
        <v>0</v>
      </c>
      <c r="K19" s="167">
        <f>I19-J19</f>
        <v>0</v>
      </c>
      <c r="L19" s="164"/>
      <c r="M19" s="1665"/>
      <c r="N19" s="1666"/>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802"/>
      <c r="C20" s="1692" t="s">
        <v>440</v>
      </c>
      <c r="D20" s="1692"/>
      <c r="E20" s="1692"/>
      <c r="F20" s="1692"/>
      <c r="G20" s="701" t="str">
        <f>IF($D$8="Yes", "COUNTY", "CITY")</f>
        <v>COUNTY</v>
      </c>
      <c r="H20" s="77" t="s">
        <v>318</v>
      </c>
      <c r="I20" s="156">
        <f>$D$10*15%</f>
        <v>0</v>
      </c>
      <c r="J20" s="162">
        <f t="shared" ref="J20:J34" si="4">IF(A20="Y",I20* 2%,0)</f>
        <v>0</v>
      </c>
      <c r="K20" s="167">
        <f t="shared" ref="K20:K33" si="5">I20-J20</f>
        <v>0</v>
      </c>
      <c r="L20" s="164"/>
      <c r="M20" s="1665"/>
      <c r="N20" s="1666"/>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659" t="s">
        <v>546</v>
      </c>
      <c r="D21" s="1659"/>
      <c r="E21" s="1659"/>
      <c r="F21" s="1659"/>
      <c r="G21" s="694" t="s">
        <v>31</v>
      </c>
      <c r="H21" s="77" t="s">
        <v>26</v>
      </c>
      <c r="I21" s="155">
        <f>$D$11*B21</f>
        <v>0</v>
      </c>
      <c r="J21" s="162">
        <f t="shared" si="4"/>
        <v>0</v>
      </c>
      <c r="K21" s="167">
        <f t="shared" si="5"/>
        <v>0</v>
      </c>
      <c r="L21" s="164"/>
      <c r="M21" s="1665"/>
      <c r="N21" s="1666"/>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659" t="s">
        <v>547</v>
      </c>
      <c r="D22" s="1659"/>
      <c r="E22" s="1659"/>
      <c r="F22" s="1659"/>
      <c r="G22" s="694" t="s">
        <v>32</v>
      </c>
      <c r="H22" s="77" t="s">
        <v>27</v>
      </c>
      <c r="I22" s="155">
        <f t="shared" ref="I22:I33" si="6">$D$11*B22</f>
        <v>0</v>
      </c>
      <c r="J22" s="162">
        <f t="shared" si="4"/>
        <v>0</v>
      </c>
      <c r="K22" s="167">
        <f t="shared" si="5"/>
        <v>0</v>
      </c>
      <c r="L22" s="164"/>
      <c r="M22" s="1665"/>
      <c r="N22" s="1666"/>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665" t="s">
        <v>216</v>
      </c>
      <c r="D23" s="1700"/>
      <c r="E23" s="1700"/>
      <c r="F23" s="1701"/>
      <c r="G23" s="694" t="s">
        <v>32</v>
      </c>
      <c r="H23" s="77" t="s">
        <v>55</v>
      </c>
      <c r="I23" s="155">
        <f t="shared" si="6"/>
        <v>0</v>
      </c>
      <c r="J23" s="162">
        <f t="shared" si="4"/>
        <v>0</v>
      </c>
      <c r="K23" s="167">
        <f t="shared" si="5"/>
        <v>0</v>
      </c>
      <c r="L23" s="164"/>
      <c r="M23" s="1665"/>
      <c r="N23" s="1666"/>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665" t="s">
        <v>466</v>
      </c>
      <c r="D24" s="1700"/>
      <c r="E24" s="1700"/>
      <c r="F24" s="1701"/>
      <c r="G24" s="694" t="s">
        <v>31</v>
      </c>
      <c r="H24" s="77" t="s">
        <v>72</v>
      </c>
      <c r="I24" s="155">
        <f t="shared" si="6"/>
        <v>0</v>
      </c>
      <c r="J24" s="162">
        <f t="shared" si="4"/>
        <v>0</v>
      </c>
      <c r="K24" s="167">
        <f t="shared" si="5"/>
        <v>0</v>
      </c>
      <c r="L24" s="164"/>
      <c r="M24" s="1665"/>
      <c r="N24" s="1666"/>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6"/>
        <v>0</v>
      </c>
      <c r="J25" s="162">
        <f t="shared" si="4"/>
        <v>0</v>
      </c>
      <c r="K25" s="167">
        <f t="shared" si="5"/>
        <v>0</v>
      </c>
      <c r="L25" s="164"/>
      <c r="M25" s="1665"/>
      <c r="N25" s="1666"/>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659" t="s">
        <v>218</v>
      </c>
      <c r="D26" s="1659"/>
      <c r="E26" s="1741"/>
      <c r="F26" s="1742"/>
      <c r="G26" s="694" t="s">
        <v>32</v>
      </c>
      <c r="H26" s="77" t="s">
        <v>35</v>
      </c>
      <c r="I26" s="155">
        <f t="shared" si="6"/>
        <v>0</v>
      </c>
      <c r="J26" s="162">
        <f t="shared" si="4"/>
        <v>0</v>
      </c>
      <c r="K26" s="167">
        <f t="shared" si="5"/>
        <v>0</v>
      </c>
      <c r="L26" s="164"/>
      <c r="M26" s="1665"/>
      <c r="N26" s="1666"/>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659" t="s">
        <v>219</v>
      </c>
      <c r="D27" s="1659"/>
      <c r="E27" s="1741"/>
      <c r="F27" s="1742"/>
      <c r="G27" s="694" t="s">
        <v>32</v>
      </c>
      <c r="H27" s="77" t="s">
        <v>65</v>
      </c>
      <c r="I27" s="155">
        <f t="shared" si="6"/>
        <v>0</v>
      </c>
      <c r="J27" s="162">
        <f t="shared" si="4"/>
        <v>0</v>
      </c>
      <c r="K27" s="167">
        <f t="shared" si="5"/>
        <v>0</v>
      </c>
      <c r="L27" s="164"/>
      <c r="M27" s="1665"/>
      <c r="N27" s="1666"/>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659" t="s">
        <v>401</v>
      </c>
      <c r="D28" s="1659"/>
      <c r="E28" s="1741"/>
      <c r="F28" s="1742"/>
      <c r="G28" s="694" t="s">
        <v>32</v>
      </c>
      <c r="H28" s="77" t="s">
        <v>65</v>
      </c>
      <c r="I28" s="155">
        <f>$D$11*B28</f>
        <v>0</v>
      </c>
      <c r="J28" s="162">
        <f>IF(A28="Y",I28* 2%,0)</f>
        <v>0</v>
      </c>
      <c r="K28" s="167">
        <f>I28-J28</f>
        <v>0</v>
      </c>
      <c r="L28" s="164"/>
      <c r="M28" s="1665"/>
      <c r="N28" s="1666"/>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659" t="s">
        <v>254</v>
      </c>
      <c r="D29" s="1659"/>
      <c r="E29" s="1743"/>
      <c r="F29" s="1744"/>
      <c r="G29" s="694" t="s">
        <v>32</v>
      </c>
      <c r="H29" s="77"/>
      <c r="I29" s="155">
        <f t="shared" si="6"/>
        <v>0</v>
      </c>
      <c r="J29" s="162">
        <f t="shared" si="4"/>
        <v>0</v>
      </c>
      <c r="K29" s="167">
        <f t="shared" si="5"/>
        <v>0</v>
      </c>
      <c r="L29" s="164"/>
      <c r="M29" s="1665"/>
      <c r="N29" s="1666"/>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49" t="s">
        <v>286</v>
      </c>
      <c r="D30" s="1459"/>
      <c r="E30" s="1459"/>
      <c r="F30" s="1460"/>
      <c r="G30" s="702" t="s">
        <v>32</v>
      </c>
      <c r="H30" s="84" t="s">
        <v>36</v>
      </c>
      <c r="I30" s="155">
        <f t="shared" si="6"/>
        <v>0</v>
      </c>
      <c r="J30" s="162">
        <f t="shared" si="4"/>
        <v>0</v>
      </c>
      <c r="K30" s="167">
        <f t="shared" si="5"/>
        <v>0</v>
      </c>
      <c r="L30" s="164"/>
      <c r="M30" s="1665"/>
      <c r="N30" s="1666"/>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449" t="s">
        <v>385</v>
      </c>
      <c r="D31" s="1459"/>
      <c r="E31" s="1459"/>
      <c r="F31" s="1460"/>
      <c r="G31" s="702" t="s">
        <v>31</v>
      </c>
      <c r="H31" s="91" t="s">
        <v>39</v>
      </c>
      <c r="I31" s="204">
        <v>4</v>
      </c>
      <c r="J31" s="162">
        <f>IF(A31="Y", I31*2%,0)</f>
        <v>0.08</v>
      </c>
      <c r="K31" s="167">
        <f>I31-J31</f>
        <v>3.92</v>
      </c>
      <c r="L31" s="164"/>
      <c r="M31" s="1665"/>
      <c r="N31" s="1666"/>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449" t="s">
        <v>555</v>
      </c>
      <c r="D32" s="1459"/>
      <c r="E32" s="1460"/>
      <c r="F32" s="1591" t="s">
        <v>281</v>
      </c>
      <c r="G32" s="702" t="s">
        <v>31</v>
      </c>
      <c r="H32" s="84" t="s">
        <v>37</v>
      </c>
      <c r="I32" s="155">
        <f t="shared" si="6"/>
        <v>0</v>
      </c>
      <c r="J32" s="162">
        <f t="shared" si="4"/>
        <v>0</v>
      </c>
      <c r="K32" s="167">
        <f t="shared" si="5"/>
        <v>0</v>
      </c>
      <c r="L32" s="164"/>
      <c r="M32" s="1665"/>
      <c r="N32" s="1666"/>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449" t="s">
        <v>556</v>
      </c>
      <c r="D33" s="1459"/>
      <c r="E33" s="1460"/>
      <c r="F33" s="1592"/>
      <c r="G33" s="702" t="s">
        <v>31</v>
      </c>
      <c r="H33" s="84" t="s">
        <v>197</v>
      </c>
      <c r="I33" s="155">
        <f t="shared" si="6"/>
        <v>0</v>
      </c>
      <c r="J33" s="162">
        <f t="shared" si="4"/>
        <v>0</v>
      </c>
      <c r="K33" s="167">
        <f t="shared" si="5"/>
        <v>0</v>
      </c>
      <c r="L33" s="164"/>
      <c r="M33" s="1665"/>
      <c r="N33" s="1666"/>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49" t="s">
        <v>220</v>
      </c>
      <c r="D34" s="1459"/>
      <c r="E34" s="1459"/>
      <c r="F34" s="1460"/>
      <c r="G34" s="702" t="s">
        <v>31</v>
      </c>
      <c r="H34" s="84" t="s">
        <v>10</v>
      </c>
      <c r="I34" s="155">
        <f>$D$10*20%</f>
        <v>0</v>
      </c>
      <c r="J34" s="162">
        <f t="shared" si="4"/>
        <v>0</v>
      </c>
      <c r="K34" s="167">
        <f>I34-J34</f>
        <v>0</v>
      </c>
      <c r="L34" s="164"/>
      <c r="M34" s="1665"/>
      <c r="N34" s="1666"/>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456" t="s">
        <v>221</v>
      </c>
      <c r="D35" s="1694"/>
      <c r="E35" s="1694"/>
      <c r="F35" s="1695"/>
      <c r="G35" s="703"/>
      <c r="H35" s="88"/>
      <c r="I35" s="157">
        <f>SUM(I16:I34)</f>
        <v>4</v>
      </c>
      <c r="J35" s="162"/>
      <c r="K35" s="168">
        <f>SUM(K16:K34)</f>
        <v>3.92</v>
      </c>
      <c r="L35" s="165"/>
      <c r="M35" s="1449"/>
      <c r="N35" s="1699"/>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449" t="s">
        <v>419</v>
      </c>
      <c r="D36" s="1459"/>
      <c r="E36" s="1459"/>
      <c r="F36" s="1460"/>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446" t="s">
        <v>259</v>
      </c>
      <c r="D37" s="1447"/>
      <c r="E37" s="1447"/>
      <c r="F37" s="1448"/>
      <c r="G37" s="704" t="s">
        <v>31</v>
      </c>
      <c r="H37" s="92" t="s">
        <v>197</v>
      </c>
      <c r="I37" s="204">
        <v>35</v>
      </c>
      <c r="J37" s="162">
        <f t="shared" ref="J37:J45" si="8">IF(A37="Y", I37*2%,0)</f>
        <v>0</v>
      </c>
      <c r="K37" s="167">
        <f t="shared" ref="K37:K45" si="9">I37-J37</f>
        <v>35</v>
      </c>
      <c r="L37" s="164"/>
      <c r="M37" s="1665"/>
      <c r="N37" s="1666"/>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446" t="s">
        <v>421</v>
      </c>
      <c r="D38" s="1447"/>
      <c r="E38" s="1447"/>
      <c r="F38" s="1448"/>
      <c r="G38" s="704" t="s">
        <v>230</v>
      </c>
      <c r="H38" s="92" t="s">
        <v>24</v>
      </c>
      <c r="I38" s="204"/>
      <c r="J38" s="162">
        <f t="shared" si="8"/>
        <v>0</v>
      </c>
      <c r="K38" s="167">
        <f t="shared" si="9"/>
        <v>0</v>
      </c>
      <c r="L38" s="164"/>
      <c r="M38" s="1665"/>
      <c r="N38" s="1666"/>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446" t="s">
        <v>292</v>
      </c>
      <c r="D39" s="1447"/>
      <c r="E39" s="1447"/>
      <c r="F39" s="1448"/>
      <c r="G39" s="704" t="s">
        <v>32</v>
      </c>
      <c r="H39" s="92" t="s">
        <v>15</v>
      </c>
      <c r="I39" s="204">
        <f>49*49%</f>
        <v>24.009999999999998</v>
      </c>
      <c r="J39" s="162">
        <f t="shared" si="8"/>
        <v>0</v>
      </c>
      <c r="K39" s="167">
        <f t="shared" si="9"/>
        <v>24.009999999999998</v>
      </c>
      <c r="L39" s="164"/>
      <c r="M39" s="1665"/>
      <c r="N39" s="1666"/>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446" t="s">
        <v>293</v>
      </c>
      <c r="D40" s="1447"/>
      <c r="E40" s="1447"/>
      <c r="F40" s="1448"/>
      <c r="G40" s="704" t="s">
        <v>32</v>
      </c>
      <c r="H40" s="92" t="s">
        <v>27</v>
      </c>
      <c r="I40" s="204">
        <f>49*51%</f>
        <v>24.990000000000002</v>
      </c>
      <c r="J40" s="162">
        <f t="shared" si="8"/>
        <v>0</v>
      </c>
      <c r="K40" s="167">
        <f t="shared" si="9"/>
        <v>24.990000000000002</v>
      </c>
      <c r="L40" s="164"/>
      <c r="M40" s="1665"/>
      <c r="N40" s="1666"/>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446" t="s">
        <v>293</v>
      </c>
      <c r="D41" s="1447"/>
      <c r="E41" s="1447"/>
      <c r="F41" s="1448"/>
      <c r="G41" s="704" t="s">
        <v>31</v>
      </c>
      <c r="H41" s="92" t="s">
        <v>13</v>
      </c>
      <c r="I41" s="204"/>
      <c r="J41" s="162">
        <f t="shared" si="8"/>
        <v>0</v>
      </c>
      <c r="K41" s="167">
        <f t="shared" si="9"/>
        <v>0</v>
      </c>
      <c r="L41" s="164"/>
      <c r="M41" s="1665"/>
      <c r="N41" s="1666"/>
      <c r="O41" s="78"/>
      <c r="P41" s="72"/>
      <c r="Q41" s="155">
        <f t="shared" si="7"/>
        <v>0</v>
      </c>
      <c r="R41" s="162">
        <f t="shared" ref="R41:R43" si="12">IF(A41="Y", Q41*2%,)</f>
        <v>0</v>
      </c>
      <c r="S41" s="167">
        <f t="shared" ref="S41:S43" si="13">Q41-R41</f>
        <v>0</v>
      </c>
      <c r="T41" s="229"/>
      <c r="U41" s="181">
        <f t="shared" si="11"/>
        <v>0</v>
      </c>
      <c r="V41" s="651"/>
      <c r="W41" s="77"/>
      <c r="X41" s="125"/>
      <c r="Y41" s="125"/>
      <c r="Z41" s="125"/>
      <c r="AA41" s="125"/>
      <c r="AB41" s="125"/>
    </row>
    <row r="42" spans="1:28" s="74" customFormat="1" ht="15.75" customHeight="1" x14ac:dyDescent="0.2">
      <c r="A42" s="69" t="s">
        <v>7</v>
      </c>
      <c r="B42" s="94"/>
      <c r="C42" s="1446" t="s">
        <v>427</v>
      </c>
      <c r="D42" s="1447"/>
      <c r="E42" s="1447"/>
      <c r="F42" s="1448"/>
      <c r="G42" s="704" t="s">
        <v>230</v>
      </c>
      <c r="H42" s="92" t="s">
        <v>27</v>
      </c>
      <c r="I42" s="204"/>
      <c r="J42" s="162">
        <f>IF(A42="Y", I42*2%,0)</f>
        <v>0</v>
      </c>
      <c r="K42" s="167">
        <f>I42-J42</f>
        <v>0</v>
      </c>
      <c r="L42" s="164"/>
      <c r="M42" s="1665"/>
      <c r="N42" s="1666"/>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449" t="s">
        <v>551</v>
      </c>
      <c r="D43" s="1447"/>
      <c r="E43" s="1447"/>
      <c r="F43" s="1448"/>
      <c r="G43" s="704" t="s">
        <v>31</v>
      </c>
      <c r="H43" s="92"/>
      <c r="I43" s="204">
        <v>3</v>
      </c>
      <c r="J43" s="162"/>
      <c r="K43" s="167">
        <f t="shared" si="9"/>
        <v>3</v>
      </c>
      <c r="L43" s="164"/>
      <c r="M43" s="1665"/>
      <c r="N43" s="1666"/>
      <c r="O43" s="78"/>
      <c r="P43" s="72"/>
      <c r="Q43" s="155">
        <f t="shared" si="7"/>
        <v>0</v>
      </c>
      <c r="R43" s="162">
        <f t="shared" si="12"/>
        <v>0</v>
      </c>
      <c r="S43" s="167">
        <f t="shared" si="13"/>
        <v>0</v>
      </c>
      <c r="T43" s="229"/>
      <c r="U43" s="181">
        <f t="shared" si="11"/>
        <v>-3</v>
      </c>
      <c r="V43" s="651"/>
      <c r="W43" s="77"/>
      <c r="X43" s="125"/>
      <c r="Y43" s="125"/>
      <c r="Z43" s="125"/>
      <c r="AA43" s="125"/>
      <c r="AB43" s="125"/>
    </row>
    <row r="44" spans="1:28" s="74" customFormat="1" ht="45.75" customHeight="1" x14ac:dyDescent="0.2">
      <c r="A44" s="69" t="s">
        <v>7</v>
      </c>
      <c r="B44" s="94"/>
      <c r="C44" s="1449" t="s">
        <v>517</v>
      </c>
      <c r="D44" s="1459"/>
      <c r="E44" s="1459"/>
      <c r="F44" s="1460"/>
      <c r="G44" s="704" t="s">
        <v>230</v>
      </c>
      <c r="H44" s="92" t="s">
        <v>82</v>
      </c>
      <c r="I44" s="204"/>
      <c r="J44" s="162">
        <f t="shared" si="8"/>
        <v>0</v>
      </c>
      <c r="K44" s="167">
        <f t="shared" si="9"/>
        <v>0</v>
      </c>
      <c r="L44" s="164"/>
      <c r="M44" s="1665"/>
      <c r="N44" s="1666"/>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446" t="s">
        <v>225</v>
      </c>
      <c r="D45" s="1447"/>
      <c r="E45" s="1447"/>
      <c r="F45" s="1448"/>
      <c r="G45" s="704" t="s">
        <v>31</v>
      </c>
      <c r="H45" s="92" t="s">
        <v>80</v>
      </c>
      <c r="I45" s="204"/>
      <c r="J45" s="162">
        <f t="shared" si="8"/>
        <v>0</v>
      </c>
      <c r="K45" s="167">
        <f t="shared" si="9"/>
        <v>0</v>
      </c>
      <c r="L45" s="164"/>
      <c r="M45" s="1665"/>
      <c r="N45" s="1666"/>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665" t="s">
        <v>492</v>
      </c>
      <c r="D46" s="1700"/>
      <c r="E46" s="1700"/>
      <c r="F46" s="1701"/>
      <c r="G46" s="705" t="s">
        <v>31</v>
      </c>
      <c r="H46" s="96" t="s">
        <v>41</v>
      </c>
      <c r="I46" s="97"/>
      <c r="J46" s="163"/>
      <c r="K46" s="169">
        <f>J47</f>
        <v>0.08</v>
      </c>
      <c r="L46" s="164"/>
      <c r="M46" s="1665"/>
      <c r="N46" s="1666"/>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1736" t="s">
        <v>61</v>
      </c>
      <c r="B49" s="1736"/>
      <c r="C49" s="1736"/>
      <c r="D49" s="210"/>
      <c r="E49" s="133"/>
      <c r="F49" s="133"/>
      <c r="K49" s="135"/>
      <c r="L49" s="136"/>
      <c r="P49" s="137"/>
      <c r="Q49" s="137"/>
      <c r="R49" s="137"/>
      <c r="S49" s="137"/>
      <c r="T49" s="137"/>
      <c r="U49" s="138"/>
      <c r="V49" s="138"/>
      <c r="W49" s="139"/>
    </row>
    <row r="50" spans="1:23" s="141" customFormat="1" ht="18" customHeight="1" x14ac:dyDescent="0.2">
      <c r="A50" s="769">
        <v>1</v>
      </c>
      <c r="B50" s="1648"/>
      <c r="C50" s="1648"/>
      <c r="D50" s="1648"/>
      <c r="E50" s="1648"/>
      <c r="F50" s="1648"/>
      <c r="G50" s="1648"/>
      <c r="H50" s="1648"/>
      <c r="I50" s="1648"/>
      <c r="J50" s="1648"/>
      <c r="K50" s="1648"/>
      <c r="L50" s="1648"/>
      <c r="M50" s="1648"/>
      <c r="N50" s="1648"/>
      <c r="O50" s="1648"/>
      <c r="P50" s="1648"/>
      <c r="Q50" s="1648"/>
      <c r="R50" s="1648"/>
      <c r="S50" s="1648"/>
      <c r="T50" s="1648"/>
      <c r="U50" s="1648"/>
      <c r="V50" s="1648"/>
      <c r="W50" s="1648"/>
    </row>
    <row r="51" spans="1:23" s="141" customFormat="1" ht="18" customHeight="1" x14ac:dyDescent="0.2">
      <c r="A51" s="769">
        <v>2</v>
      </c>
      <c r="B51" s="1648"/>
      <c r="C51" s="1648"/>
      <c r="D51" s="1648"/>
      <c r="E51" s="1648"/>
      <c r="F51" s="1648"/>
      <c r="G51" s="1648"/>
      <c r="H51" s="1648"/>
      <c r="I51" s="1648"/>
      <c r="J51" s="1648"/>
      <c r="K51" s="1648"/>
      <c r="L51" s="1648"/>
      <c r="M51" s="1648"/>
      <c r="N51" s="1648"/>
      <c r="O51" s="1648"/>
      <c r="P51" s="1648"/>
      <c r="Q51" s="1648"/>
      <c r="R51" s="1648"/>
      <c r="S51" s="1648"/>
      <c r="T51" s="1648"/>
      <c r="U51" s="1648"/>
      <c r="V51" s="1648"/>
      <c r="W51" s="1648"/>
    </row>
    <row r="52" spans="1:23" s="141" customFormat="1" ht="18" customHeight="1" x14ac:dyDescent="0.2">
      <c r="A52" s="769">
        <v>3</v>
      </c>
      <c r="B52" s="1648"/>
      <c r="C52" s="1648"/>
      <c r="D52" s="1648"/>
      <c r="E52" s="1648"/>
      <c r="F52" s="1648"/>
      <c r="G52" s="1648"/>
      <c r="H52" s="1648"/>
      <c r="I52" s="1648"/>
      <c r="J52" s="1648"/>
      <c r="K52" s="1648"/>
      <c r="L52" s="1648"/>
      <c r="M52" s="1648"/>
      <c r="N52" s="1648"/>
      <c r="O52" s="1648"/>
      <c r="P52" s="1648"/>
      <c r="Q52" s="1648"/>
      <c r="R52" s="1648"/>
      <c r="S52" s="1648"/>
      <c r="T52" s="1648"/>
      <c r="U52" s="1648"/>
      <c r="V52" s="1648"/>
      <c r="W52" s="1648"/>
    </row>
    <row r="53" spans="1:23" s="54" customFormat="1" ht="20.25" customHeight="1" x14ac:dyDescent="0.2">
      <c r="A53" s="769">
        <v>4</v>
      </c>
      <c r="B53" s="1648"/>
      <c r="C53" s="1648"/>
      <c r="D53" s="1648"/>
      <c r="E53" s="1648"/>
      <c r="F53" s="1648"/>
      <c r="G53" s="1648"/>
      <c r="H53" s="1648"/>
      <c r="I53" s="1648"/>
      <c r="J53" s="1648"/>
      <c r="K53" s="1648"/>
      <c r="L53" s="1648"/>
      <c r="M53" s="1648"/>
      <c r="N53" s="1648"/>
      <c r="O53" s="1648"/>
      <c r="P53" s="1648"/>
      <c r="Q53" s="1648"/>
      <c r="R53" s="1648"/>
      <c r="S53" s="1648"/>
      <c r="T53" s="1648"/>
      <c r="U53" s="1648"/>
      <c r="V53" s="1648"/>
      <c r="W53" s="1648"/>
    </row>
  </sheetData>
  <sheetProtection insertRows="0"/>
  <mergeCells count="130">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A10:C10"/>
    <mergeCell ref="D10:E10"/>
    <mergeCell ref="F10:G10"/>
    <mergeCell ref="I10:L10"/>
    <mergeCell ref="M10:N10"/>
    <mergeCell ref="Q10:W10"/>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9:E9">
      <formula1>Yes_No_NA</formula1>
    </dataValidation>
    <dataValidation type="list" allowBlank="1" showInputMessage="1" showErrorMessage="1" sqref="D8:E8">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669" t="s">
        <v>106</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5"/>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32" t="s">
        <v>28</v>
      </c>
      <c r="G4" s="1334"/>
      <c r="H4" s="187"/>
      <c r="I4" s="1939" t="s">
        <v>378</v>
      </c>
      <c r="J4" s="1939"/>
      <c r="K4" s="1939"/>
      <c r="L4" s="1940"/>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291" t="s">
        <v>244</v>
      </c>
      <c r="G5" s="1278"/>
      <c r="H5" s="185"/>
      <c r="I5" s="1935" t="s">
        <v>319</v>
      </c>
      <c r="J5" s="1935"/>
      <c r="K5" s="1935"/>
      <c r="L5" s="1936"/>
      <c r="M5" s="1388" t="s">
        <v>22</v>
      </c>
      <c r="N5" s="1388"/>
      <c r="O5" s="58"/>
      <c r="P5" s="238"/>
      <c r="Q5" s="1789" t="s">
        <v>302</v>
      </c>
      <c r="R5" s="1790"/>
      <c r="S5" s="1790"/>
      <c r="T5" s="1790"/>
      <c r="U5" s="1790"/>
      <c r="V5" s="1790"/>
      <c r="W5" s="1791"/>
      <c r="Y5" s="172" t="s">
        <v>31</v>
      </c>
      <c r="Z5" s="176">
        <f>SUMIF($G$16:$G$41,"STATE",$K$16:$K$41)</f>
        <v>79</v>
      </c>
      <c r="AA5" s="176">
        <f>SUMIF($G$16:$G$41,"STATE",$S$16:$S$41)</f>
        <v>0</v>
      </c>
    </row>
    <row r="6" spans="1:28" s="57" customFormat="1" ht="16.5" thickBot="1" x14ac:dyDescent="0.25">
      <c r="A6" s="1384" t="s">
        <v>12</v>
      </c>
      <c r="B6" s="1385"/>
      <c r="C6" s="1385"/>
      <c r="D6" s="1289"/>
      <c r="E6" s="1290"/>
      <c r="F6" s="1291" t="s">
        <v>20</v>
      </c>
      <c r="G6" s="1278"/>
      <c r="H6" s="185"/>
      <c r="I6" s="1935" t="s">
        <v>317</v>
      </c>
      <c r="J6" s="1935"/>
      <c r="K6" s="1935"/>
      <c r="L6" s="1936"/>
      <c r="M6" s="1389" t="s">
        <v>233</v>
      </c>
      <c r="N6" s="1389"/>
      <c r="O6" s="212">
        <f>O4+O5*10</f>
        <v>0</v>
      </c>
      <c r="P6" s="238"/>
      <c r="Q6" s="1786" t="s">
        <v>573</v>
      </c>
      <c r="R6" s="1787"/>
      <c r="S6" s="1787"/>
      <c r="T6" s="1787"/>
      <c r="U6" s="1787"/>
      <c r="V6" s="1787"/>
      <c r="W6" s="1788"/>
      <c r="Y6" s="172" t="s">
        <v>32</v>
      </c>
      <c r="Z6" s="176">
        <f>SUMIF($G$16:$G$41,"COUNTY",$K$16:$K$41)</f>
        <v>0</v>
      </c>
      <c r="AA6" s="176">
        <f>SUMIF($G$16:$G$41,"COUNTY",$S$16:$S$41)</f>
        <v>0</v>
      </c>
    </row>
    <row r="7" spans="1:28" s="57" customFormat="1" ht="16.5" thickBot="1" x14ac:dyDescent="0.25">
      <c r="A7" s="1384" t="s">
        <v>5</v>
      </c>
      <c r="B7" s="1385"/>
      <c r="C7" s="1385"/>
      <c r="D7" s="1282"/>
      <c r="E7" s="1283"/>
      <c r="F7" s="1284" t="s">
        <v>21</v>
      </c>
      <c r="G7" s="1285"/>
      <c r="H7" s="186"/>
      <c r="I7" s="1933" t="s">
        <v>3</v>
      </c>
      <c r="J7" s="1933"/>
      <c r="K7" s="1933"/>
      <c r="L7" s="1948"/>
      <c r="M7" s="235"/>
      <c r="N7" s="242"/>
      <c r="O7" s="236"/>
      <c r="P7" s="238"/>
      <c r="Q7" s="1778" t="s">
        <v>235</v>
      </c>
      <c r="R7" s="1779"/>
      <c r="S7" s="1779"/>
      <c r="T7" s="1779"/>
      <c r="U7" s="1779"/>
      <c r="V7" s="1779"/>
      <c r="W7" s="1780"/>
      <c r="Y7" s="172" t="s">
        <v>52</v>
      </c>
      <c r="Z7" s="176">
        <f>SUMIF($G$16:$G$41,"CITY",$K$16:$K$41)</f>
        <v>0</v>
      </c>
      <c r="AA7" s="176">
        <f>SUMIF($G$16:$G$41,"CITY",$S$16:$S$41)</f>
        <v>0</v>
      </c>
    </row>
    <row r="8" spans="1:28" s="57" customFormat="1" ht="15.75" customHeight="1" x14ac:dyDescent="0.2">
      <c r="A8" s="1394" t="s">
        <v>434</v>
      </c>
      <c r="B8" s="1395"/>
      <c r="C8" s="1395"/>
      <c r="D8" s="1282" t="s">
        <v>437</v>
      </c>
      <c r="E8" s="1283"/>
      <c r="F8" s="1332" t="s">
        <v>253</v>
      </c>
      <c r="G8" s="1334"/>
      <c r="H8" s="187"/>
      <c r="I8" s="1939"/>
      <c r="J8" s="1939"/>
      <c r="K8" s="1939"/>
      <c r="L8" s="1940"/>
      <c r="M8" s="1333" t="s">
        <v>257</v>
      </c>
      <c r="N8" s="1333"/>
      <c r="O8" s="55">
        <v>0</v>
      </c>
      <c r="P8" s="239"/>
      <c r="Q8" s="1772" t="s">
        <v>303</v>
      </c>
      <c r="R8" s="1726"/>
      <c r="S8" s="1726"/>
      <c r="T8" s="1726"/>
      <c r="U8" s="1726"/>
      <c r="V8" s="1726"/>
      <c r="W8" s="1773"/>
      <c r="Y8" s="172" t="s">
        <v>230</v>
      </c>
      <c r="Z8" s="176">
        <f>SUMIF($G$16:$G$41,"COURT",$K$16:$K$41)</f>
        <v>0</v>
      </c>
      <c r="AA8" s="176">
        <f>SUMIF($G$16:$G$41,"COURT",$S$16:$S$41)</f>
        <v>0</v>
      </c>
    </row>
    <row r="9" spans="1:28" s="57" customFormat="1" ht="18" customHeight="1" thickBot="1" x14ac:dyDescent="0.25">
      <c r="A9" s="1402" t="s">
        <v>435</v>
      </c>
      <c r="B9" s="1403"/>
      <c r="C9" s="1403"/>
      <c r="D9" s="1282" t="s">
        <v>442</v>
      </c>
      <c r="E9" s="1283"/>
      <c r="F9" s="1291" t="s">
        <v>244</v>
      </c>
      <c r="G9" s="1278"/>
      <c r="H9" s="185"/>
      <c r="I9" s="1935"/>
      <c r="J9" s="1935"/>
      <c r="K9" s="1935"/>
      <c r="L9" s="1936"/>
      <c r="M9" s="1388" t="s">
        <v>22</v>
      </c>
      <c r="N9" s="1388"/>
      <c r="O9" s="58"/>
      <c r="P9" s="239"/>
      <c r="Q9" s="1774"/>
      <c r="R9" s="1729"/>
      <c r="S9" s="1729"/>
      <c r="T9" s="1729"/>
      <c r="U9" s="1729"/>
      <c r="V9" s="1729"/>
      <c r="W9" s="1775"/>
      <c r="Y9" s="153" t="s">
        <v>446</v>
      </c>
      <c r="Z9" s="176">
        <f>SUMIF($G$16:$G$41,"CNTY or CTY",$K$16:$K$41)</f>
        <v>0</v>
      </c>
      <c r="AA9" s="176">
        <f>SUMIF($G$16:$G$41,"CNTY or CTY",$S$16:$S$41)</f>
        <v>0</v>
      </c>
    </row>
    <row r="10" spans="1:28" s="57" customFormat="1" ht="16.5" customHeight="1" thickBot="1" x14ac:dyDescent="0.25">
      <c r="A10" s="1436" t="s">
        <v>276</v>
      </c>
      <c r="B10" s="1437"/>
      <c r="C10" s="1437"/>
      <c r="D10" s="1651">
        <f>O6+O10</f>
        <v>0</v>
      </c>
      <c r="E10" s="1652"/>
      <c r="F10" s="1291" t="s">
        <v>20</v>
      </c>
      <c r="G10" s="1278"/>
      <c r="H10" s="185"/>
      <c r="I10" s="1935"/>
      <c r="J10" s="1935"/>
      <c r="K10" s="1935"/>
      <c r="L10" s="1936"/>
      <c r="M10" s="1389" t="s">
        <v>233</v>
      </c>
      <c r="N10" s="1389"/>
      <c r="O10" s="212">
        <f>O8+O9*10</f>
        <v>0</v>
      </c>
      <c r="P10" s="240"/>
      <c r="Q10" s="1769" t="s">
        <v>239</v>
      </c>
      <c r="R10" s="1770"/>
      <c r="S10" s="1770"/>
      <c r="T10" s="1770"/>
      <c r="U10" s="1770"/>
      <c r="V10" s="1770"/>
      <c r="W10" s="1771"/>
      <c r="Y10" s="274" t="s">
        <v>246</v>
      </c>
      <c r="Z10" s="148">
        <f>SUM(Z5:Z9)</f>
        <v>79</v>
      </c>
      <c r="AA10" s="148">
        <f>SUM(AA5:AA9)</f>
        <v>0</v>
      </c>
    </row>
    <row r="11" spans="1:28" s="57" customFormat="1" ht="16.5" customHeight="1" thickBot="1" x14ac:dyDescent="0.25">
      <c r="A11" s="1439" t="s">
        <v>277</v>
      </c>
      <c r="B11" s="1440"/>
      <c r="C11" s="1440"/>
      <c r="D11" s="1649">
        <f>ROUNDUP(D10/10,0)</f>
        <v>0</v>
      </c>
      <c r="E11" s="1650"/>
      <c r="F11" s="1284" t="s">
        <v>21</v>
      </c>
      <c r="G11" s="1285"/>
      <c r="H11" s="186"/>
      <c r="I11" s="1933"/>
      <c r="J11" s="1933"/>
      <c r="K11" s="1933"/>
      <c r="L11" s="1948"/>
      <c r="M11" s="1400" t="s">
        <v>568</v>
      </c>
      <c r="N11" s="1401"/>
      <c r="O11" s="780">
        <f>'1-DUI (Reduce Base)'!P11</f>
        <v>5</v>
      </c>
      <c r="P11" s="240"/>
      <c r="Q11" s="1755" t="s">
        <v>430</v>
      </c>
      <c r="R11" s="1756"/>
      <c r="S11" s="1756"/>
      <c r="T11" s="1756"/>
      <c r="U11" s="1756"/>
      <c r="V11" s="1756"/>
      <c r="W11" s="175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291">
        <v>0.02</v>
      </c>
      <c r="B14" s="291" t="s">
        <v>58</v>
      </c>
      <c r="C14" s="1364" t="s">
        <v>226</v>
      </c>
      <c r="D14" s="1365"/>
      <c r="E14" s="1365"/>
      <c r="F14" s="1366"/>
      <c r="G14" s="290" t="s">
        <v>249</v>
      </c>
      <c r="H14" s="114" t="s">
        <v>0</v>
      </c>
      <c r="I14" s="1805" t="s">
        <v>298</v>
      </c>
      <c r="J14" s="1747" t="s">
        <v>6</v>
      </c>
      <c r="K14" s="289" t="s">
        <v>299</v>
      </c>
      <c r="L14" s="67"/>
      <c r="M14" s="1716" t="s">
        <v>260</v>
      </c>
      <c r="N14" s="1717"/>
      <c r="O14" s="288" t="s">
        <v>248</v>
      </c>
      <c r="P14" s="121"/>
      <c r="Q14" s="690" t="s">
        <v>428</v>
      </c>
      <c r="R14" s="1747" t="s">
        <v>6</v>
      </c>
      <c r="S14" s="289" t="s">
        <v>299</v>
      </c>
      <c r="T14" s="228"/>
      <c r="U14" s="273" t="s">
        <v>256</v>
      </c>
      <c r="V14" s="1749" t="s">
        <v>61</v>
      </c>
      <c r="W14" s="1751" t="s">
        <v>384</v>
      </c>
    </row>
    <row r="15" spans="1:28" ht="30.75" customHeight="1" thickBot="1" x14ac:dyDescent="0.25">
      <c r="A15" s="292"/>
      <c r="B15" s="292"/>
      <c r="C15" s="1367"/>
      <c r="D15" s="1368"/>
      <c r="E15" s="1368"/>
      <c r="F15" s="1369"/>
      <c r="G15" s="293"/>
      <c r="H15" s="293"/>
      <c r="I15" s="1806"/>
      <c r="J15" s="1748"/>
      <c r="K15" s="244" t="s">
        <v>42</v>
      </c>
      <c r="L15" s="68"/>
      <c r="M15" s="1714"/>
      <c r="N15" s="1715"/>
      <c r="O15" s="297" t="s">
        <v>43</v>
      </c>
      <c r="P15" s="121"/>
      <c r="Q15" s="246" t="e">
        <f>(Q35-Q31)/(I35-I31)</f>
        <v>#DIV/0!</v>
      </c>
      <c r="R15" s="1748"/>
      <c r="S15" s="244" t="s">
        <v>44</v>
      </c>
      <c r="T15" s="228"/>
      <c r="U15" s="298" t="s">
        <v>300</v>
      </c>
      <c r="V15" s="1750"/>
      <c r="W15" s="1752"/>
    </row>
    <row r="16" spans="1:28" s="74" customFormat="1" ht="15.75" hidden="1" customHeight="1" thickTop="1" x14ac:dyDescent="0.2">
      <c r="A16" s="69" t="s">
        <v>8</v>
      </c>
      <c r="B16" s="195"/>
      <c r="C16" s="1692"/>
      <c r="D16" s="1692"/>
      <c r="E16" s="1692"/>
      <c r="F16" s="1692"/>
      <c r="G16" s="70"/>
      <c r="H16" s="71"/>
      <c r="I16" s="154"/>
      <c r="J16" s="162"/>
      <c r="K16" s="198"/>
      <c r="L16" s="164"/>
      <c r="M16" s="1731"/>
      <c r="N16" s="1732"/>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665"/>
      <c r="D17" s="1700"/>
      <c r="E17" s="1700"/>
      <c r="F17" s="1701"/>
      <c r="G17" s="76"/>
      <c r="H17" s="77"/>
      <c r="I17" s="156"/>
      <c r="J17" s="162"/>
      <c r="K17" s="167"/>
      <c r="L17" s="164"/>
      <c r="M17" s="1665"/>
      <c r="N17" s="1666"/>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1972" t="s">
        <v>241</v>
      </c>
      <c r="C18" s="1692" t="s">
        <v>320</v>
      </c>
      <c r="D18" s="1692"/>
      <c r="E18" s="1692"/>
      <c r="F18" s="1692"/>
      <c r="G18" s="701" t="str">
        <f>IF(AND($D$9="Yes",$D$8="NA-City Arrest"), "CITY","COUNTY")</f>
        <v>COUNTY</v>
      </c>
      <c r="H18" s="77" t="s">
        <v>325</v>
      </c>
      <c r="I18" s="156">
        <f>$D$10*70%</f>
        <v>0</v>
      </c>
      <c r="J18" s="162">
        <f>IF(A18="Y",I18* 2%,0)</f>
        <v>0</v>
      </c>
      <c r="K18" s="167">
        <f>I18-J18</f>
        <v>0</v>
      </c>
      <c r="L18" s="164"/>
      <c r="M18" s="1665"/>
      <c r="N18" s="1666"/>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1972"/>
      <c r="C19" s="1692" t="s">
        <v>321</v>
      </c>
      <c r="D19" s="1692"/>
      <c r="E19" s="1692"/>
      <c r="F19" s="1692"/>
      <c r="G19" s="701" t="str">
        <f>IF(AND($D$9="Yes",$D$8="NA-City Arrest"), "CITY","COUNTY")</f>
        <v>COUNTY</v>
      </c>
      <c r="H19" s="77" t="s">
        <v>324</v>
      </c>
      <c r="I19" s="156">
        <f>$D$10*15%</f>
        <v>0</v>
      </c>
      <c r="J19" s="162">
        <f>IF(A19="Y",I19* 2%,0)</f>
        <v>0</v>
      </c>
      <c r="K19" s="167">
        <f>I19-J19</f>
        <v>0</v>
      </c>
      <c r="L19" s="164"/>
      <c r="M19" s="1665"/>
      <c r="N19" s="1666"/>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802"/>
      <c r="C20" s="1692" t="s">
        <v>322</v>
      </c>
      <c r="D20" s="1692"/>
      <c r="E20" s="1692"/>
      <c r="F20" s="1692"/>
      <c r="G20" s="701" t="str">
        <f>IF($D$8="Yes", "COUNTY", "CITY")</f>
        <v>CITY</v>
      </c>
      <c r="H20" s="77" t="s">
        <v>323</v>
      </c>
      <c r="I20" s="156">
        <f>$D$10*15%</f>
        <v>0</v>
      </c>
      <c r="J20" s="162">
        <f t="shared" ref="J20:J34" si="4">IF(A20="Y",I20* 2%,0)</f>
        <v>0</v>
      </c>
      <c r="K20" s="167">
        <f t="shared" ref="K20:K33" si="5">I20-J20</f>
        <v>0</v>
      </c>
      <c r="L20" s="164"/>
      <c r="M20" s="1665"/>
      <c r="N20" s="1666"/>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659" t="s">
        <v>546</v>
      </c>
      <c r="D21" s="1659"/>
      <c r="E21" s="1659"/>
      <c r="F21" s="1659"/>
      <c r="G21" s="694" t="s">
        <v>31</v>
      </c>
      <c r="H21" s="77" t="s">
        <v>26</v>
      </c>
      <c r="I21" s="155">
        <f>$D$11*B21</f>
        <v>0</v>
      </c>
      <c r="J21" s="162">
        <f t="shared" si="4"/>
        <v>0</v>
      </c>
      <c r="K21" s="167">
        <f t="shared" si="5"/>
        <v>0</v>
      </c>
      <c r="L21" s="164"/>
      <c r="M21" s="1665"/>
      <c r="N21" s="1666"/>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659" t="s">
        <v>547</v>
      </c>
      <c r="D22" s="1659"/>
      <c r="E22" s="1659"/>
      <c r="F22" s="1659"/>
      <c r="G22" s="694" t="s">
        <v>32</v>
      </c>
      <c r="H22" s="77" t="s">
        <v>27</v>
      </c>
      <c r="I22" s="155">
        <f t="shared" ref="I22:I33" si="6">$D$11*B22</f>
        <v>0</v>
      </c>
      <c r="J22" s="162">
        <f t="shared" si="4"/>
        <v>0</v>
      </c>
      <c r="K22" s="167">
        <f t="shared" si="5"/>
        <v>0</v>
      </c>
      <c r="L22" s="164"/>
      <c r="M22" s="1665"/>
      <c r="N22" s="1666"/>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665" t="s">
        <v>216</v>
      </c>
      <c r="D23" s="1700"/>
      <c r="E23" s="1700"/>
      <c r="F23" s="1701"/>
      <c r="G23" s="694" t="s">
        <v>32</v>
      </c>
      <c r="H23" s="77" t="s">
        <v>55</v>
      </c>
      <c r="I23" s="155">
        <f t="shared" si="6"/>
        <v>0</v>
      </c>
      <c r="J23" s="162">
        <f t="shared" si="4"/>
        <v>0</v>
      </c>
      <c r="K23" s="167">
        <f t="shared" si="5"/>
        <v>0</v>
      </c>
      <c r="L23" s="164"/>
      <c r="M23" s="1665"/>
      <c r="N23" s="1666"/>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665" t="s">
        <v>466</v>
      </c>
      <c r="D24" s="1700"/>
      <c r="E24" s="1700"/>
      <c r="F24" s="1701"/>
      <c r="G24" s="694" t="s">
        <v>31</v>
      </c>
      <c r="H24" s="77" t="s">
        <v>72</v>
      </c>
      <c r="I24" s="155">
        <f t="shared" si="6"/>
        <v>0</v>
      </c>
      <c r="J24" s="162">
        <f t="shared" si="4"/>
        <v>0</v>
      </c>
      <c r="K24" s="167">
        <f t="shared" si="5"/>
        <v>0</v>
      </c>
      <c r="L24" s="164"/>
      <c r="M24" s="1665"/>
      <c r="N24" s="1666"/>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6"/>
        <v>0</v>
      </c>
      <c r="J25" s="162">
        <f t="shared" si="4"/>
        <v>0</v>
      </c>
      <c r="K25" s="167">
        <f t="shared" si="5"/>
        <v>0</v>
      </c>
      <c r="L25" s="164"/>
      <c r="M25" s="1665"/>
      <c r="N25" s="1666"/>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659" t="s">
        <v>218</v>
      </c>
      <c r="D26" s="1659"/>
      <c r="E26" s="1741"/>
      <c r="F26" s="1742"/>
      <c r="G26" s="694" t="s">
        <v>32</v>
      </c>
      <c r="H26" s="77" t="s">
        <v>35</v>
      </c>
      <c r="I26" s="155">
        <f t="shared" si="6"/>
        <v>0</v>
      </c>
      <c r="J26" s="162">
        <f t="shared" si="4"/>
        <v>0</v>
      </c>
      <c r="K26" s="167">
        <f t="shared" si="5"/>
        <v>0</v>
      </c>
      <c r="L26" s="164"/>
      <c r="M26" s="1665"/>
      <c r="N26" s="1666"/>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659" t="s">
        <v>219</v>
      </c>
      <c r="D27" s="1659"/>
      <c r="E27" s="1741"/>
      <c r="F27" s="1742"/>
      <c r="G27" s="694" t="s">
        <v>32</v>
      </c>
      <c r="H27" s="77" t="s">
        <v>65</v>
      </c>
      <c r="I27" s="155">
        <f t="shared" si="6"/>
        <v>0</v>
      </c>
      <c r="J27" s="162">
        <f t="shared" si="4"/>
        <v>0</v>
      </c>
      <c r="K27" s="167">
        <f t="shared" si="5"/>
        <v>0</v>
      </c>
      <c r="L27" s="164"/>
      <c r="M27" s="1665"/>
      <c r="N27" s="1666"/>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659" t="s">
        <v>401</v>
      </c>
      <c r="D28" s="1659"/>
      <c r="E28" s="1741"/>
      <c r="F28" s="1742"/>
      <c r="G28" s="694" t="s">
        <v>32</v>
      </c>
      <c r="H28" s="77" t="s">
        <v>65</v>
      </c>
      <c r="I28" s="155">
        <f>$D$11*B28</f>
        <v>0</v>
      </c>
      <c r="J28" s="162">
        <f>IF(A28="Y",I28* 2%,0)</f>
        <v>0</v>
      </c>
      <c r="K28" s="167">
        <f>I28-J28</f>
        <v>0</v>
      </c>
      <c r="L28" s="164"/>
      <c r="M28" s="1665"/>
      <c r="N28" s="1666"/>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659" t="s">
        <v>254</v>
      </c>
      <c r="D29" s="1659"/>
      <c r="E29" s="1743"/>
      <c r="F29" s="1744"/>
      <c r="G29" s="694" t="s">
        <v>32</v>
      </c>
      <c r="H29" s="77"/>
      <c r="I29" s="155">
        <f t="shared" si="6"/>
        <v>0</v>
      </c>
      <c r="J29" s="162">
        <f t="shared" si="4"/>
        <v>0</v>
      </c>
      <c r="K29" s="167">
        <f t="shared" si="5"/>
        <v>0</v>
      </c>
      <c r="L29" s="164"/>
      <c r="M29" s="1665"/>
      <c r="N29" s="1666"/>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49" t="s">
        <v>286</v>
      </c>
      <c r="D30" s="1459"/>
      <c r="E30" s="1459"/>
      <c r="F30" s="1460"/>
      <c r="G30" s="702" t="s">
        <v>32</v>
      </c>
      <c r="H30" s="84" t="s">
        <v>36</v>
      </c>
      <c r="I30" s="155">
        <f t="shared" si="6"/>
        <v>0</v>
      </c>
      <c r="J30" s="162">
        <f t="shared" si="4"/>
        <v>0</v>
      </c>
      <c r="K30" s="167">
        <f t="shared" si="5"/>
        <v>0</v>
      </c>
      <c r="L30" s="164"/>
      <c r="M30" s="1665"/>
      <c r="N30" s="1666"/>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49" t="s">
        <v>385</v>
      </c>
      <c r="D31" s="1459"/>
      <c r="E31" s="1459"/>
      <c r="F31" s="1460"/>
      <c r="G31" s="702" t="s">
        <v>31</v>
      </c>
      <c r="H31" s="91" t="s">
        <v>39</v>
      </c>
      <c r="I31" s="204">
        <v>4</v>
      </c>
      <c r="J31" s="162">
        <f>IF(A31="Y", I31*2%,0)</f>
        <v>0.08</v>
      </c>
      <c r="K31" s="167">
        <f>I31-J31</f>
        <v>3.92</v>
      </c>
      <c r="L31" s="164"/>
      <c r="M31" s="1665"/>
      <c r="N31" s="1666"/>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449" t="s">
        <v>555</v>
      </c>
      <c r="D32" s="1459"/>
      <c r="E32" s="1460"/>
      <c r="F32" s="1591" t="s">
        <v>281</v>
      </c>
      <c r="G32" s="702" t="s">
        <v>31</v>
      </c>
      <c r="H32" s="84" t="s">
        <v>37</v>
      </c>
      <c r="I32" s="155">
        <f t="shared" si="6"/>
        <v>0</v>
      </c>
      <c r="J32" s="162">
        <f t="shared" si="4"/>
        <v>0</v>
      </c>
      <c r="K32" s="167">
        <f t="shared" si="5"/>
        <v>0</v>
      </c>
      <c r="L32" s="164"/>
      <c r="M32" s="1665"/>
      <c r="N32" s="1666"/>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449" t="s">
        <v>556</v>
      </c>
      <c r="D33" s="1459"/>
      <c r="E33" s="1460"/>
      <c r="F33" s="1592"/>
      <c r="G33" s="702" t="s">
        <v>31</v>
      </c>
      <c r="H33" s="84" t="s">
        <v>197</v>
      </c>
      <c r="I33" s="155">
        <f t="shared" si="6"/>
        <v>0</v>
      </c>
      <c r="J33" s="162">
        <f t="shared" si="4"/>
        <v>0</v>
      </c>
      <c r="K33" s="167">
        <f t="shared" si="5"/>
        <v>0</v>
      </c>
      <c r="L33" s="164"/>
      <c r="M33" s="1665"/>
      <c r="N33" s="1666"/>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49" t="s">
        <v>220</v>
      </c>
      <c r="D34" s="1459"/>
      <c r="E34" s="1459"/>
      <c r="F34" s="1460"/>
      <c r="G34" s="702" t="s">
        <v>31</v>
      </c>
      <c r="H34" s="84" t="s">
        <v>10</v>
      </c>
      <c r="I34" s="155">
        <f>$D$10*20%</f>
        <v>0</v>
      </c>
      <c r="J34" s="162">
        <f t="shared" si="4"/>
        <v>0</v>
      </c>
      <c r="K34" s="167">
        <f>I34-J34</f>
        <v>0</v>
      </c>
      <c r="L34" s="164"/>
      <c r="M34" s="1665"/>
      <c r="N34" s="1666"/>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456" t="s">
        <v>221</v>
      </c>
      <c r="D35" s="1694"/>
      <c r="E35" s="1694"/>
      <c r="F35" s="1695"/>
      <c r="G35" s="703"/>
      <c r="H35" s="88"/>
      <c r="I35" s="157">
        <f>SUM(I16:I34)</f>
        <v>4</v>
      </c>
      <c r="J35" s="162"/>
      <c r="K35" s="168">
        <f>SUM(K16:K34)</f>
        <v>3.92</v>
      </c>
      <c r="L35" s="165"/>
      <c r="M35" s="1449"/>
      <c r="N35" s="1699"/>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49" t="s">
        <v>419</v>
      </c>
      <c r="D36" s="1459"/>
      <c r="E36" s="1459"/>
      <c r="F36" s="1460"/>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446" t="s">
        <v>259</v>
      </c>
      <c r="D37" s="1447"/>
      <c r="E37" s="1447"/>
      <c r="F37" s="1448"/>
      <c r="G37" s="704" t="s">
        <v>31</v>
      </c>
      <c r="H37" s="92" t="s">
        <v>197</v>
      </c>
      <c r="I37" s="204">
        <v>35</v>
      </c>
      <c r="J37" s="162">
        <f t="shared" ref="J37:J40" si="8">IF(A37="Y", I37*2%,0)</f>
        <v>0</v>
      </c>
      <c r="K37" s="167">
        <f t="shared" ref="K37:K40" si="9">I37-J37</f>
        <v>35</v>
      </c>
      <c r="L37" s="164"/>
      <c r="M37" s="1665"/>
      <c r="N37" s="1666"/>
      <c r="O37" s="78"/>
      <c r="P37" s="72"/>
      <c r="Q37" s="155">
        <f>IF($Q$43=0,,I37)</f>
        <v>0</v>
      </c>
      <c r="R37" s="162">
        <f t="shared" ref="R37:R40" si="10">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446" t="s">
        <v>421</v>
      </c>
      <c r="D38" s="1447"/>
      <c r="E38" s="1447"/>
      <c r="F38" s="1448"/>
      <c r="G38" s="704" t="s">
        <v>230</v>
      </c>
      <c r="H38" s="92" t="s">
        <v>24</v>
      </c>
      <c r="I38" s="204"/>
      <c r="J38" s="162">
        <f t="shared" si="8"/>
        <v>0</v>
      </c>
      <c r="K38" s="167">
        <f t="shared" si="9"/>
        <v>0</v>
      </c>
      <c r="L38" s="164"/>
      <c r="M38" s="1665"/>
      <c r="N38" s="1666"/>
      <c r="O38" s="78"/>
      <c r="P38" s="72"/>
      <c r="Q38" s="155">
        <f>IF($Q$43=0,,I38)</f>
        <v>0</v>
      </c>
      <c r="R38" s="162">
        <f t="shared" si="10"/>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449" t="s">
        <v>517</v>
      </c>
      <c r="D39" s="1459"/>
      <c r="E39" s="1459"/>
      <c r="F39" s="1460"/>
      <c r="G39" s="704" t="s">
        <v>230</v>
      </c>
      <c r="H39" s="92" t="s">
        <v>82</v>
      </c>
      <c r="I39" s="204"/>
      <c r="J39" s="162">
        <f t="shared" si="8"/>
        <v>0</v>
      </c>
      <c r="K39" s="167">
        <f t="shared" si="9"/>
        <v>0</v>
      </c>
      <c r="L39" s="164"/>
      <c r="M39" s="1665"/>
      <c r="N39" s="1666"/>
      <c r="O39" s="78"/>
      <c r="P39" s="72"/>
      <c r="Q39" s="155">
        <f>IF($Q$43=0,,I39)</f>
        <v>0</v>
      </c>
      <c r="R39" s="162">
        <f t="shared" si="10"/>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446" t="s">
        <v>225</v>
      </c>
      <c r="D40" s="1447"/>
      <c r="E40" s="1447"/>
      <c r="F40" s="1448"/>
      <c r="G40" s="704" t="s">
        <v>31</v>
      </c>
      <c r="H40" s="92" t="s">
        <v>80</v>
      </c>
      <c r="I40" s="204"/>
      <c r="J40" s="162">
        <f t="shared" si="8"/>
        <v>0</v>
      </c>
      <c r="K40" s="167">
        <f t="shared" si="9"/>
        <v>0</v>
      </c>
      <c r="L40" s="164"/>
      <c r="M40" s="1665"/>
      <c r="N40" s="1666"/>
      <c r="O40" s="78"/>
      <c r="P40" s="72"/>
      <c r="Q40" s="155">
        <f>IF($Q$43=0,,I40)</f>
        <v>0</v>
      </c>
      <c r="R40" s="162">
        <f t="shared" si="10"/>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665" t="s">
        <v>492</v>
      </c>
      <c r="D41" s="1700"/>
      <c r="E41" s="1700"/>
      <c r="F41" s="1701"/>
      <c r="G41" s="705" t="s">
        <v>31</v>
      </c>
      <c r="H41" s="96" t="s">
        <v>41</v>
      </c>
      <c r="I41" s="97"/>
      <c r="J41" s="163"/>
      <c r="K41" s="169">
        <f>J42</f>
        <v>0.08</v>
      </c>
      <c r="L41" s="164"/>
      <c r="M41" s="1665"/>
      <c r="N41" s="1666"/>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736" t="s">
        <v>61</v>
      </c>
      <c r="B44" s="1736"/>
      <c r="C44" s="1736"/>
      <c r="D44" s="210"/>
      <c r="E44" s="133"/>
      <c r="F44" s="133"/>
      <c r="K44" s="135"/>
      <c r="L44" s="136"/>
      <c r="P44" s="137"/>
      <c r="Q44" s="137"/>
      <c r="R44" s="137"/>
      <c r="S44" s="137"/>
      <c r="T44" s="137"/>
      <c r="U44" s="138"/>
      <c r="V44" s="138"/>
      <c r="W44" s="139"/>
    </row>
    <row r="45" spans="1:28" s="141" customFormat="1" ht="18" customHeight="1" x14ac:dyDescent="0.2">
      <c r="A45" s="769">
        <v>1</v>
      </c>
      <c r="B45" s="1733"/>
      <c r="C45" s="1734"/>
      <c r="D45" s="1734"/>
      <c r="E45" s="1734"/>
      <c r="F45" s="1734"/>
      <c r="G45" s="1734"/>
      <c r="H45" s="1734"/>
      <c r="I45" s="1734"/>
      <c r="J45" s="1734"/>
      <c r="K45" s="1734"/>
      <c r="L45" s="1734"/>
      <c r="M45" s="1734"/>
      <c r="N45" s="1734"/>
      <c r="O45" s="1734"/>
      <c r="P45" s="1734"/>
      <c r="Q45" s="1734"/>
      <c r="R45" s="1734"/>
      <c r="S45" s="1734"/>
      <c r="T45" s="1734"/>
      <c r="U45" s="1734"/>
      <c r="V45" s="1734"/>
      <c r="W45" s="1735"/>
    </row>
    <row r="46" spans="1:28" s="141" customFormat="1" ht="18" customHeight="1" x14ac:dyDescent="0.2">
      <c r="A46" s="769">
        <v>2</v>
      </c>
      <c r="B46" s="1733"/>
      <c r="C46" s="1734"/>
      <c r="D46" s="1734"/>
      <c r="E46" s="1734"/>
      <c r="F46" s="1734"/>
      <c r="G46" s="1734"/>
      <c r="H46" s="1734"/>
      <c r="I46" s="1734"/>
      <c r="J46" s="1734"/>
      <c r="K46" s="1734"/>
      <c r="L46" s="1734"/>
      <c r="M46" s="1734"/>
      <c r="N46" s="1734"/>
      <c r="O46" s="1734"/>
      <c r="P46" s="1734"/>
      <c r="Q46" s="1734"/>
      <c r="R46" s="1734"/>
      <c r="S46" s="1734"/>
      <c r="T46" s="1734"/>
      <c r="U46" s="1734"/>
      <c r="V46" s="1734"/>
      <c r="W46" s="1735"/>
    </row>
    <row r="47" spans="1:28" s="141" customFormat="1" ht="18" customHeight="1" x14ac:dyDescent="0.2">
      <c r="A47" s="769">
        <v>3</v>
      </c>
      <c r="B47" s="1733"/>
      <c r="C47" s="1734"/>
      <c r="D47" s="1734"/>
      <c r="E47" s="1734"/>
      <c r="F47" s="1734"/>
      <c r="G47" s="1734"/>
      <c r="H47" s="1734"/>
      <c r="I47" s="1734"/>
      <c r="J47" s="1734"/>
      <c r="K47" s="1734"/>
      <c r="L47" s="1734"/>
      <c r="M47" s="1734"/>
      <c r="N47" s="1734"/>
      <c r="O47" s="1734"/>
      <c r="P47" s="1734"/>
      <c r="Q47" s="1734"/>
      <c r="R47" s="1734"/>
      <c r="S47" s="1734"/>
      <c r="T47" s="1734"/>
      <c r="U47" s="1734"/>
      <c r="V47" s="1734"/>
      <c r="W47" s="1735"/>
    </row>
    <row r="48" spans="1:28" s="54" customFormat="1" ht="20.25" customHeight="1" x14ac:dyDescent="0.2">
      <c r="A48" s="769">
        <v>4</v>
      </c>
      <c r="B48" s="1733"/>
      <c r="C48" s="1734"/>
      <c r="D48" s="1734"/>
      <c r="E48" s="1734"/>
      <c r="F48" s="1734"/>
      <c r="G48" s="1734"/>
      <c r="H48" s="1734"/>
      <c r="I48" s="1734"/>
      <c r="J48" s="1734"/>
      <c r="K48" s="1734"/>
      <c r="L48" s="1734"/>
      <c r="M48" s="1734"/>
      <c r="N48" s="1734"/>
      <c r="O48" s="1734"/>
      <c r="P48" s="1734"/>
      <c r="Q48" s="1734"/>
      <c r="R48" s="1734"/>
      <c r="S48" s="1734"/>
      <c r="T48" s="1734"/>
      <c r="U48" s="1734"/>
      <c r="V48" s="1734"/>
      <c r="W48" s="1735"/>
    </row>
  </sheetData>
  <sheetProtection insertRows="0"/>
  <mergeCells count="120">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C21:F21"/>
    <mergeCell ref="M21:N21"/>
    <mergeCell ref="C22:F22"/>
    <mergeCell ref="M22:N22"/>
    <mergeCell ref="C23:F23"/>
    <mergeCell ref="M23:N23"/>
    <mergeCell ref="C16:F16"/>
    <mergeCell ref="M16:N16"/>
    <mergeCell ref="C17:F17"/>
    <mergeCell ref="M17:N17"/>
    <mergeCell ref="B18:B20"/>
    <mergeCell ref="C18:F18"/>
    <mergeCell ref="M18:N18"/>
    <mergeCell ref="C19:F19"/>
    <mergeCell ref="M19:N19"/>
    <mergeCell ref="C20:F20"/>
    <mergeCell ref="C14:F15"/>
    <mergeCell ref="I14:I15"/>
    <mergeCell ref="J14:J15"/>
    <mergeCell ref="M14:N14"/>
    <mergeCell ref="M20:N20"/>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formula1>Distribution_Method</formula1>
    </dataValidation>
    <dataValidation type="list" allowBlank="1" showInputMessage="1" showErrorMessage="1" sqref="D8:E8">
      <formula1>Yes_No_NA_City</formula1>
    </dataValidation>
    <dataValidation type="list" allowBlank="1" showInputMessage="1" showErrorMessage="1" sqref="D9:E9">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2060" t="s">
        <v>107</v>
      </c>
      <c r="B1" s="2061"/>
      <c r="C1" s="2061"/>
      <c r="D1" s="2061"/>
      <c r="E1" s="2061"/>
      <c r="F1" s="2061"/>
      <c r="G1" s="2061"/>
      <c r="H1" s="2061"/>
      <c r="I1" s="2061"/>
      <c r="J1" s="2061"/>
      <c r="K1" s="2061"/>
      <c r="L1" s="2065"/>
      <c r="M1" s="2065"/>
      <c r="N1" s="2065"/>
      <c r="O1" s="2065"/>
      <c r="P1" s="2065"/>
      <c r="Q1" s="2065"/>
      <c r="R1" s="2065"/>
      <c r="S1" s="2065"/>
      <c r="T1" s="2065"/>
      <c r="U1" s="2065"/>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062" t="s">
        <v>234</v>
      </c>
      <c r="B3" s="2063"/>
      <c r="C3" s="2063"/>
      <c r="D3" s="2063"/>
      <c r="E3" s="2063"/>
      <c r="F3" s="2063"/>
      <c r="G3" s="2063"/>
      <c r="H3" s="2063"/>
      <c r="I3" s="2063"/>
      <c r="J3" s="2063"/>
      <c r="K3" s="2063"/>
      <c r="L3" s="2063"/>
      <c r="M3" s="2063"/>
      <c r="N3" s="2063"/>
      <c r="O3" s="2064"/>
      <c r="P3" s="355"/>
      <c r="Q3" s="2066" t="s">
        <v>261</v>
      </c>
      <c r="R3" s="2067"/>
      <c r="S3" s="2067"/>
      <c r="T3" s="2067"/>
      <c r="U3" s="2067"/>
      <c r="V3" s="2067"/>
      <c r="W3" s="2068"/>
      <c r="Y3" s="356" t="s">
        <v>250</v>
      </c>
      <c r="Z3" s="357"/>
    </row>
    <row r="4" spans="1:28" s="361" customFormat="1" ht="15.75" x14ac:dyDescent="0.2">
      <c r="A4" s="2069" t="s">
        <v>231</v>
      </c>
      <c r="B4" s="2070"/>
      <c r="C4" s="2070"/>
      <c r="D4" s="2071">
        <f>L1</f>
        <v>0</v>
      </c>
      <c r="E4" s="2072"/>
      <c r="F4" s="2055" t="s">
        <v>28</v>
      </c>
      <c r="G4" s="2056"/>
      <c r="H4" s="358"/>
      <c r="I4" s="2057"/>
      <c r="J4" s="2057"/>
      <c r="K4" s="2057"/>
      <c r="L4" s="2058"/>
      <c r="M4" s="2073" t="s">
        <v>257</v>
      </c>
      <c r="N4" s="2073"/>
      <c r="O4" s="359" t="s">
        <v>342</v>
      </c>
      <c r="P4" s="360"/>
      <c r="Q4" s="2074" t="s">
        <v>236</v>
      </c>
      <c r="R4" s="2075"/>
      <c r="S4" s="2075"/>
      <c r="T4" s="2075"/>
      <c r="U4" s="2075"/>
      <c r="V4" s="2075"/>
      <c r="W4" s="2076"/>
      <c r="Y4" s="362" t="s">
        <v>308</v>
      </c>
      <c r="Z4" s="363" t="s">
        <v>309</v>
      </c>
      <c r="AA4" s="363" t="s">
        <v>310</v>
      </c>
    </row>
    <row r="5" spans="1:28" s="361" customFormat="1" ht="15.75" x14ac:dyDescent="0.2">
      <c r="A5" s="2051" t="s">
        <v>4</v>
      </c>
      <c r="B5" s="2052"/>
      <c r="C5" s="2052"/>
      <c r="D5" s="2053"/>
      <c r="E5" s="2054"/>
      <c r="F5" s="2031" t="s">
        <v>244</v>
      </c>
      <c r="G5" s="2032"/>
      <c r="H5" s="364"/>
      <c r="I5" s="2033"/>
      <c r="J5" s="2033"/>
      <c r="K5" s="2033"/>
      <c r="L5" s="2034"/>
      <c r="M5" s="2016" t="s">
        <v>22</v>
      </c>
      <c r="N5" s="2016"/>
      <c r="O5" s="365" t="s">
        <v>342</v>
      </c>
      <c r="P5" s="360"/>
      <c r="Q5" s="2045" t="s">
        <v>343</v>
      </c>
      <c r="R5" s="2046"/>
      <c r="S5" s="2046"/>
      <c r="T5" s="2046"/>
      <c r="U5" s="2046"/>
      <c r="V5" s="2046"/>
      <c r="W5" s="2047"/>
      <c r="Y5" s="366" t="s">
        <v>31</v>
      </c>
      <c r="Z5" s="367">
        <f>SUMIF($G$16:$G$21,"STATE",$K$16:$K$21)</f>
        <v>18.399999999999999</v>
      </c>
      <c r="AA5" s="367">
        <f>SUMIF($G$16:$G$21,"STATE",$S$16:$S$21)</f>
        <v>0</v>
      </c>
    </row>
    <row r="6" spans="1:28" s="361" customFormat="1" ht="16.5" thickBot="1" x14ac:dyDescent="0.25">
      <c r="A6" s="2051" t="s">
        <v>12</v>
      </c>
      <c r="B6" s="2052"/>
      <c r="C6" s="2052"/>
      <c r="D6" s="2053"/>
      <c r="E6" s="2054"/>
      <c r="F6" s="2031" t="s">
        <v>20</v>
      </c>
      <c r="G6" s="2032"/>
      <c r="H6" s="364"/>
      <c r="I6" s="2033" t="s">
        <v>317</v>
      </c>
      <c r="J6" s="2033"/>
      <c r="K6" s="2033"/>
      <c r="L6" s="2034"/>
      <c r="M6" s="2008" t="s">
        <v>233</v>
      </c>
      <c r="N6" s="2008"/>
      <c r="O6" s="368"/>
      <c r="P6" s="360"/>
      <c r="Q6" s="2048"/>
      <c r="R6" s="2049"/>
      <c r="S6" s="2049"/>
      <c r="T6" s="2049"/>
      <c r="U6" s="2049"/>
      <c r="V6" s="2049"/>
      <c r="W6" s="2050"/>
      <c r="Y6" s="366" t="s">
        <v>32</v>
      </c>
      <c r="Z6" s="367">
        <f>SUMIF($G$16:$G$21,"COUNTY",$K$16:$K$21)</f>
        <v>6.6000000000000005</v>
      </c>
      <c r="AA6" s="367">
        <f>SUMIF($G$16:$G$21,"COUNTY",$S$16:$S$21)</f>
        <v>0</v>
      </c>
    </row>
    <row r="7" spans="1:28" s="361" customFormat="1" ht="16.5" customHeight="1" thickBot="1" x14ac:dyDescent="0.25">
      <c r="A7" s="2051" t="s">
        <v>5</v>
      </c>
      <c r="B7" s="2052"/>
      <c r="C7" s="2052"/>
      <c r="D7" s="2059"/>
      <c r="E7" s="2054"/>
      <c r="F7" s="2027" t="s">
        <v>21</v>
      </c>
      <c r="G7" s="2028"/>
      <c r="H7" s="369"/>
      <c r="I7" s="2029" t="s">
        <v>344</v>
      </c>
      <c r="J7" s="2029"/>
      <c r="K7" s="2029"/>
      <c r="L7" s="2030"/>
      <c r="M7" s="370"/>
      <c r="N7" s="371"/>
      <c r="O7" s="372"/>
      <c r="P7" s="360"/>
      <c r="Q7" s="2017" t="s">
        <v>345</v>
      </c>
      <c r="R7" s="2018"/>
      <c r="S7" s="2018"/>
      <c r="T7" s="2018"/>
      <c r="U7" s="2018"/>
      <c r="V7" s="2018"/>
      <c r="W7" s="2019"/>
      <c r="Y7" s="366" t="s">
        <v>52</v>
      </c>
      <c r="Z7" s="367">
        <f>SUMIF($G$16:$G$21,"CITY",$K$16:$K$21)</f>
        <v>0</v>
      </c>
      <c r="AA7" s="367">
        <f>SUMIF($G$16:$G$21,"CITY",$S$16:$S$21)</f>
        <v>0</v>
      </c>
    </row>
    <row r="8" spans="1:28" s="361" customFormat="1" ht="15.75" customHeight="1" x14ac:dyDescent="0.2">
      <c r="A8" s="2043" t="s">
        <v>444</v>
      </c>
      <c r="B8" s="2044"/>
      <c r="C8" s="2044"/>
      <c r="D8" s="1781" t="s">
        <v>436</v>
      </c>
      <c r="E8" s="1809"/>
      <c r="F8" s="2055" t="s">
        <v>253</v>
      </c>
      <c r="G8" s="2056"/>
      <c r="H8" s="358"/>
      <c r="I8" s="2057"/>
      <c r="J8" s="2057"/>
      <c r="K8" s="2057"/>
      <c r="L8" s="2058"/>
      <c r="M8" s="2015" t="s">
        <v>257</v>
      </c>
      <c r="N8" s="2015"/>
      <c r="O8" s="373" t="s">
        <v>342</v>
      </c>
      <c r="P8" s="374"/>
      <c r="Q8" s="2020"/>
      <c r="R8" s="2021"/>
      <c r="S8" s="2021"/>
      <c r="T8" s="2021"/>
      <c r="U8" s="2021"/>
      <c r="V8" s="2021"/>
      <c r="W8" s="2022"/>
      <c r="Y8" s="366" t="s">
        <v>230</v>
      </c>
      <c r="Z8" s="367">
        <f>SUMIF($G$16:$G$21,"COURT",$K$16:$K$21)</f>
        <v>0</v>
      </c>
      <c r="AA8" s="367">
        <f>SUMIF($G$16:$G$21,"COURT",$S$16:$S$21)</f>
        <v>0</v>
      </c>
    </row>
    <row r="9" spans="1:28" s="361" customFormat="1" ht="18" customHeight="1" x14ac:dyDescent="0.2">
      <c r="A9" s="2037" t="s">
        <v>85</v>
      </c>
      <c r="B9" s="2038"/>
      <c r="C9" s="2038"/>
      <c r="D9" s="2035" t="str">
        <f>IF(D8="Yes", "No", "Yes")</f>
        <v>No</v>
      </c>
      <c r="E9" s="2036"/>
      <c r="F9" s="2031" t="s">
        <v>244</v>
      </c>
      <c r="G9" s="2032"/>
      <c r="H9" s="364"/>
      <c r="I9" s="2033"/>
      <c r="J9" s="2033"/>
      <c r="K9" s="2033"/>
      <c r="L9" s="2034"/>
      <c r="M9" s="2016" t="s">
        <v>22</v>
      </c>
      <c r="N9" s="2016"/>
      <c r="O9" s="365" t="s">
        <v>342</v>
      </c>
      <c r="P9" s="374"/>
      <c r="Q9" s="2009" t="s">
        <v>431</v>
      </c>
      <c r="R9" s="2010"/>
      <c r="S9" s="2010"/>
      <c r="T9" s="2010"/>
      <c r="U9" s="2010"/>
      <c r="V9" s="2010"/>
      <c r="W9" s="2011"/>
      <c r="Y9" s="153" t="s">
        <v>446</v>
      </c>
      <c r="Z9" s="176">
        <f>SUMIF($G$16:$G$21,"CNTY or CTY",$K$16:$K$21)</f>
        <v>0</v>
      </c>
      <c r="AA9" s="176">
        <f>SUMIF($G$16:$G$21,"CNTY or CTY",$S$16:$S$21)</f>
        <v>0</v>
      </c>
    </row>
    <row r="10" spans="1:28" s="361" customFormat="1" ht="16.5" customHeight="1" thickBot="1" x14ac:dyDescent="0.25">
      <c r="A10" s="2039" t="s">
        <v>346</v>
      </c>
      <c r="B10" s="2040"/>
      <c r="C10" s="2040"/>
      <c r="D10" s="2041">
        <v>1</v>
      </c>
      <c r="E10" s="2042"/>
      <c r="F10" s="2031" t="s">
        <v>20</v>
      </c>
      <c r="G10" s="2032"/>
      <c r="H10" s="364"/>
      <c r="I10" s="2033"/>
      <c r="J10" s="2033"/>
      <c r="K10" s="2033"/>
      <c r="L10" s="2034"/>
      <c r="M10" s="2008" t="s">
        <v>233</v>
      </c>
      <c r="N10" s="2008"/>
      <c r="O10" s="368"/>
      <c r="P10" s="375"/>
      <c r="Q10" s="2012"/>
      <c r="R10" s="2013"/>
      <c r="S10" s="2013"/>
      <c r="T10" s="2013"/>
      <c r="U10" s="2013"/>
      <c r="V10" s="2013"/>
      <c r="W10" s="2014"/>
      <c r="Y10" s="376" t="s">
        <v>246</v>
      </c>
      <c r="Z10" s="377">
        <f>SUM(Z5:Z9)</f>
        <v>25</v>
      </c>
      <c r="AA10" s="377">
        <f>SUM(AA5:AA9)</f>
        <v>0</v>
      </c>
    </row>
    <row r="11" spans="1:28" s="361" customFormat="1" ht="16.5" customHeight="1" thickTop="1" thickBot="1" x14ac:dyDescent="0.25">
      <c r="A11" s="2024"/>
      <c r="B11" s="2024"/>
      <c r="C11" s="2024"/>
      <c r="D11" s="2025"/>
      <c r="E11" s="2026"/>
      <c r="F11" s="2027" t="s">
        <v>21</v>
      </c>
      <c r="G11" s="2028"/>
      <c r="H11" s="369"/>
      <c r="I11" s="2029"/>
      <c r="J11" s="2029"/>
      <c r="K11" s="2029"/>
      <c r="L11" s="2030"/>
      <c r="M11" s="378"/>
      <c r="N11" s="379"/>
      <c r="O11" s="380"/>
      <c r="P11" s="381"/>
      <c r="Q11" s="2023"/>
      <c r="R11" s="2023"/>
      <c r="S11" s="2023"/>
      <c r="T11" s="2023"/>
      <c r="U11" s="2023"/>
      <c r="V11" s="2023"/>
      <c r="W11" s="2023"/>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974" t="s">
        <v>347</v>
      </c>
      <c r="J13" s="1975"/>
      <c r="K13" s="1976"/>
      <c r="L13" s="398"/>
      <c r="M13" s="2002" t="s">
        <v>229</v>
      </c>
      <c r="N13" s="2003"/>
      <c r="O13" s="2004"/>
      <c r="P13" s="399"/>
      <c r="Q13" s="2005" t="s">
        <v>295</v>
      </c>
      <c r="R13" s="2006"/>
      <c r="S13" s="2007"/>
      <c r="T13" s="400"/>
      <c r="U13" s="401"/>
      <c r="V13" s="401"/>
      <c r="W13" s="402"/>
      <c r="X13" s="396"/>
      <c r="Y13" s="396"/>
      <c r="Z13" s="396"/>
      <c r="AA13" s="396"/>
      <c r="AB13" s="396"/>
    </row>
    <row r="14" spans="1:28" ht="44.25" customHeight="1" thickBot="1" x14ac:dyDescent="0.25">
      <c r="A14" s="403">
        <v>0.02</v>
      </c>
      <c r="B14" s="403" t="s">
        <v>58</v>
      </c>
      <c r="C14" s="1990" t="s">
        <v>226</v>
      </c>
      <c r="D14" s="1991"/>
      <c r="E14" s="1991"/>
      <c r="F14" s="1992"/>
      <c r="G14" s="404" t="s">
        <v>249</v>
      </c>
      <c r="H14" s="405" t="s">
        <v>0</v>
      </c>
      <c r="I14" s="1996" t="s">
        <v>315</v>
      </c>
      <c r="J14" s="1988" t="s">
        <v>6</v>
      </c>
      <c r="K14" s="406" t="s">
        <v>299</v>
      </c>
      <c r="L14" s="407"/>
      <c r="M14" s="1998" t="s">
        <v>260</v>
      </c>
      <c r="N14" s="1999"/>
      <c r="O14" s="408" t="s">
        <v>248</v>
      </c>
      <c r="P14" s="409"/>
      <c r="Q14" s="410" t="s">
        <v>296</v>
      </c>
      <c r="R14" s="1988" t="s">
        <v>6</v>
      </c>
      <c r="S14" s="406" t="s">
        <v>299</v>
      </c>
      <c r="T14" s="411"/>
      <c r="U14" s="412" t="s">
        <v>256</v>
      </c>
      <c r="V14" s="1749" t="s">
        <v>61</v>
      </c>
      <c r="W14" s="1751" t="s">
        <v>384</v>
      </c>
    </row>
    <row r="15" spans="1:28" ht="30.75" customHeight="1" thickBot="1" x14ac:dyDescent="0.25">
      <c r="A15" s="414"/>
      <c r="B15" s="414"/>
      <c r="C15" s="1993"/>
      <c r="D15" s="1994"/>
      <c r="E15" s="1994"/>
      <c r="F15" s="1995"/>
      <c r="G15" s="415"/>
      <c r="H15" s="415"/>
      <c r="I15" s="1997"/>
      <c r="J15" s="1989"/>
      <c r="K15" s="416" t="s">
        <v>42</v>
      </c>
      <c r="L15" s="417"/>
      <c r="M15" s="2000"/>
      <c r="N15" s="2001"/>
      <c r="O15" s="418" t="s">
        <v>43</v>
      </c>
      <c r="P15" s="409"/>
      <c r="Q15" s="419" t="e">
        <f>#REF!/#REF!</f>
        <v>#REF!</v>
      </c>
      <c r="R15" s="1989"/>
      <c r="S15" s="416" t="s">
        <v>44</v>
      </c>
      <c r="T15" s="411"/>
      <c r="U15" s="420" t="s">
        <v>300</v>
      </c>
      <c r="V15" s="1750"/>
      <c r="W15" s="1752"/>
    </row>
    <row r="16" spans="1:28" s="437" customFormat="1" ht="15.75" hidden="1" customHeight="1" thickTop="1" x14ac:dyDescent="0.2">
      <c r="A16" s="421" t="s">
        <v>7</v>
      </c>
      <c r="B16" s="422"/>
      <c r="C16" s="1980"/>
      <c r="D16" s="1980"/>
      <c r="E16" s="1980"/>
      <c r="F16" s="1980"/>
      <c r="G16" s="423"/>
      <c r="H16" s="424"/>
      <c r="I16" s="425"/>
      <c r="J16" s="426"/>
      <c r="K16" s="427"/>
      <c r="L16" s="428"/>
      <c r="M16" s="1986"/>
      <c r="N16" s="1987"/>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1981"/>
      <c r="D17" s="1984"/>
      <c r="E17" s="1984"/>
      <c r="F17" s="1985"/>
      <c r="G17" s="439"/>
      <c r="H17" s="440"/>
      <c r="I17" s="441"/>
      <c r="J17" s="426"/>
      <c r="K17" s="442"/>
      <c r="L17" s="428"/>
      <c r="M17" s="1981"/>
      <c r="N17" s="1982"/>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1978" t="s">
        <v>342</v>
      </c>
      <c r="C18" s="1980" t="s">
        <v>348</v>
      </c>
      <c r="D18" s="1980"/>
      <c r="E18" s="1980"/>
      <c r="F18" s="1980"/>
      <c r="G18" s="700" t="str">
        <f>IF($D$8="Yes", "COUNTY","CITY")</f>
        <v>COUNTY</v>
      </c>
      <c r="H18" s="440" t="s">
        <v>25</v>
      </c>
      <c r="I18" s="441">
        <f>IF($D$10&gt;0,10*33%, 0)</f>
        <v>3.3000000000000003</v>
      </c>
      <c r="J18" s="426">
        <f>IF(A18="Y",I18* 2%,0)</f>
        <v>0</v>
      </c>
      <c r="K18" s="442">
        <f>I18-J18</f>
        <v>3.3000000000000003</v>
      </c>
      <c r="L18" s="428"/>
      <c r="M18" s="1981"/>
      <c r="N18" s="1982"/>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1978"/>
      <c r="C19" s="1980" t="s">
        <v>349</v>
      </c>
      <c r="D19" s="1980"/>
      <c r="E19" s="1980"/>
      <c r="F19" s="1980"/>
      <c r="G19" s="700" t="s">
        <v>31</v>
      </c>
      <c r="H19" s="440" t="s">
        <v>26</v>
      </c>
      <c r="I19" s="441">
        <f>IF($D$10&gt;0,10*34%, 0)</f>
        <v>3.4000000000000004</v>
      </c>
      <c r="J19" s="426">
        <f>IF(A19="Y",I19* 2%,0)</f>
        <v>0</v>
      </c>
      <c r="K19" s="442">
        <f>I19-J19</f>
        <v>3.4000000000000004</v>
      </c>
      <c r="L19" s="428"/>
      <c r="M19" s="1981"/>
      <c r="N19" s="1982"/>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1978"/>
      <c r="C20" s="1980" t="s">
        <v>348</v>
      </c>
      <c r="D20" s="1980"/>
      <c r="E20" s="1980"/>
      <c r="F20" s="1980"/>
      <c r="G20" s="700" t="s">
        <v>32</v>
      </c>
      <c r="H20" s="440" t="s">
        <v>27</v>
      </c>
      <c r="I20" s="441">
        <f>IF($D$10&gt;0,10*33%, 0)</f>
        <v>3.3000000000000003</v>
      </c>
      <c r="J20" s="426">
        <f>IF(A20="Y",I20* 2%,0)</f>
        <v>0</v>
      </c>
      <c r="K20" s="442">
        <f>I20-J20</f>
        <v>3.3000000000000003</v>
      </c>
      <c r="L20" s="428"/>
      <c r="M20" s="1981"/>
      <c r="N20" s="1982"/>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1979"/>
      <c r="C21" s="1983" t="s">
        <v>453</v>
      </c>
      <c r="D21" s="1983"/>
      <c r="E21" s="1983"/>
      <c r="F21" s="1983"/>
      <c r="G21" s="698" t="s">
        <v>31</v>
      </c>
      <c r="H21" s="440" t="s">
        <v>197</v>
      </c>
      <c r="I21" s="449">
        <f>($D$10*25)-SUM(I18:I20)</f>
        <v>14.999999999999998</v>
      </c>
      <c r="J21" s="426">
        <f>IF(A21="Y",I21* 2%,0)</f>
        <v>0</v>
      </c>
      <c r="K21" s="442">
        <f>I21-J21</f>
        <v>14.999999999999998</v>
      </c>
      <c r="L21" s="428"/>
      <c r="M21" s="1981"/>
      <c r="N21" s="1982"/>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1977" t="s">
        <v>61</v>
      </c>
      <c r="B24" s="1977"/>
      <c r="C24" s="1977"/>
      <c r="D24" s="476"/>
      <c r="E24" s="477"/>
      <c r="F24" s="477"/>
      <c r="K24" s="478"/>
      <c r="L24" s="479"/>
      <c r="P24" s="480"/>
      <c r="Q24" s="480"/>
      <c r="R24" s="480"/>
      <c r="S24" s="480"/>
      <c r="T24" s="480"/>
      <c r="U24" s="481"/>
      <c r="V24" s="481"/>
      <c r="W24" s="482"/>
    </row>
    <row r="25" spans="1:28" s="483" customFormat="1" ht="18" customHeight="1" x14ac:dyDescent="0.2">
      <c r="A25" s="769">
        <v>1</v>
      </c>
      <c r="B25" s="1973"/>
      <c r="C25" s="1973"/>
      <c r="D25" s="1973"/>
      <c r="E25" s="1973"/>
      <c r="F25" s="1973"/>
      <c r="G25" s="1973"/>
      <c r="H25" s="1973"/>
      <c r="I25" s="1973"/>
      <c r="J25" s="1973"/>
      <c r="K25" s="1973"/>
      <c r="L25" s="1973"/>
      <c r="M25" s="1973"/>
      <c r="N25" s="1973"/>
      <c r="O25" s="1973"/>
      <c r="P25" s="1973"/>
      <c r="Q25" s="1973"/>
      <c r="R25" s="1973"/>
      <c r="S25" s="1973"/>
      <c r="T25" s="1973"/>
      <c r="U25" s="1973"/>
      <c r="V25" s="1973"/>
      <c r="W25" s="1973"/>
    </row>
    <row r="26" spans="1:28" s="483" customFormat="1" ht="18" customHeight="1" x14ac:dyDescent="0.2">
      <c r="A26" s="769">
        <v>2</v>
      </c>
      <c r="B26" s="1973"/>
      <c r="C26" s="1973"/>
      <c r="D26" s="1973"/>
      <c r="E26" s="1973"/>
      <c r="F26" s="1973"/>
      <c r="G26" s="1973"/>
      <c r="H26" s="1973"/>
      <c r="I26" s="1973"/>
      <c r="J26" s="1973"/>
      <c r="K26" s="1973"/>
      <c r="L26" s="1973"/>
      <c r="M26" s="1973"/>
      <c r="N26" s="1973"/>
      <c r="O26" s="1973"/>
      <c r="P26" s="1973"/>
      <c r="Q26" s="1973"/>
      <c r="R26" s="1973"/>
      <c r="S26" s="1973"/>
      <c r="T26" s="1973"/>
      <c r="U26" s="1973"/>
      <c r="V26" s="1973"/>
      <c r="W26" s="1973"/>
    </row>
    <row r="27" spans="1:28" s="483" customFormat="1" ht="18" customHeight="1" x14ac:dyDescent="0.2">
      <c r="A27" s="769">
        <v>3</v>
      </c>
      <c r="B27" s="1973"/>
      <c r="C27" s="1973"/>
      <c r="D27" s="1973"/>
      <c r="E27" s="1973"/>
      <c r="F27" s="1973"/>
      <c r="G27" s="1973"/>
      <c r="H27" s="1973"/>
      <c r="I27" s="1973"/>
      <c r="J27" s="1973"/>
      <c r="K27" s="1973"/>
      <c r="L27" s="1973"/>
      <c r="M27" s="1973"/>
      <c r="N27" s="1973"/>
      <c r="O27" s="1973"/>
      <c r="P27" s="1973"/>
      <c r="Q27" s="1973"/>
      <c r="R27" s="1973"/>
      <c r="S27" s="1973"/>
      <c r="T27" s="1973"/>
      <c r="U27" s="1973"/>
      <c r="V27" s="1973"/>
      <c r="W27" s="1973"/>
    </row>
    <row r="28" spans="1:28" s="351" customFormat="1" ht="21" customHeight="1" x14ac:dyDescent="0.2">
      <c r="A28" s="769">
        <v>4</v>
      </c>
      <c r="B28" s="1973"/>
      <c r="C28" s="1973"/>
      <c r="D28" s="1973"/>
      <c r="E28" s="1973"/>
      <c r="F28" s="1973"/>
      <c r="G28" s="1973"/>
      <c r="H28" s="1973"/>
      <c r="I28" s="1973"/>
      <c r="J28" s="1973"/>
      <c r="K28" s="1973"/>
      <c r="L28" s="1973"/>
      <c r="M28" s="1973"/>
      <c r="N28" s="1973"/>
      <c r="O28" s="1973"/>
      <c r="P28" s="1973"/>
      <c r="Q28" s="1973"/>
      <c r="R28" s="1973"/>
      <c r="S28" s="1973"/>
      <c r="T28" s="1973"/>
      <c r="U28" s="1973"/>
      <c r="V28" s="1973"/>
      <c r="W28" s="1973"/>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669" t="s">
        <v>108</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5"/>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81" t="s">
        <v>28</v>
      </c>
      <c r="G4" s="1382"/>
      <c r="H4" s="208"/>
      <c r="I4" s="1795" t="s">
        <v>390</v>
      </c>
      <c r="J4" s="1795"/>
      <c r="K4" s="1795"/>
      <c r="L4" s="1795"/>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386" t="s">
        <v>244</v>
      </c>
      <c r="G5" s="1387"/>
      <c r="H5" s="185"/>
      <c r="I5" s="1393" t="s">
        <v>326</v>
      </c>
      <c r="J5" s="1393"/>
      <c r="K5" s="1393"/>
      <c r="L5" s="1393"/>
      <c r="M5" s="1388" t="s">
        <v>22</v>
      </c>
      <c r="N5" s="1388"/>
      <c r="O5" s="58"/>
      <c r="P5" s="238"/>
      <c r="Q5" s="1789" t="s">
        <v>302</v>
      </c>
      <c r="R5" s="1790"/>
      <c r="S5" s="1790"/>
      <c r="T5" s="1790"/>
      <c r="U5" s="1790"/>
      <c r="V5" s="1790"/>
      <c r="W5" s="1791"/>
      <c r="Y5" s="172" t="s">
        <v>31</v>
      </c>
      <c r="Z5" s="176">
        <f>SUMIF($G$16:$G$41,"STATE",$K$16:$K$41)</f>
        <v>91.74</v>
      </c>
      <c r="AA5" s="176">
        <f>SUMIF($G$16:$G$41,"STATE",$S$16:$S$41)</f>
        <v>0</v>
      </c>
    </row>
    <row r="6" spans="1:28" s="57" customFormat="1" ht="16.5" thickBot="1" x14ac:dyDescent="0.25">
      <c r="A6" s="1384" t="s">
        <v>12</v>
      </c>
      <c r="B6" s="1385"/>
      <c r="C6" s="1385"/>
      <c r="D6" s="1289"/>
      <c r="E6" s="1290"/>
      <c r="F6" s="1386" t="s">
        <v>20</v>
      </c>
      <c r="G6" s="1387"/>
      <c r="H6" s="185"/>
      <c r="I6" s="1393" t="s">
        <v>317</v>
      </c>
      <c r="J6" s="1393"/>
      <c r="K6" s="1393"/>
      <c r="L6" s="1393"/>
      <c r="M6" s="1389" t="s">
        <v>233</v>
      </c>
      <c r="N6" s="1389"/>
      <c r="O6" s="212">
        <f>O4+O5*10</f>
        <v>0</v>
      </c>
      <c r="P6" s="238"/>
      <c r="Q6" s="1786" t="s">
        <v>573</v>
      </c>
      <c r="R6" s="1787"/>
      <c r="S6" s="1787"/>
      <c r="T6" s="1787"/>
      <c r="U6" s="1787"/>
      <c r="V6" s="1787"/>
      <c r="W6" s="1788"/>
      <c r="Y6" s="172" t="s">
        <v>32</v>
      </c>
      <c r="Z6" s="176">
        <f>SUMIF($G$16:$G$41,"COUNTY",$K$16:$K$41)</f>
        <v>-29.89</v>
      </c>
      <c r="AA6" s="176">
        <f>SUMIF($G$16:$G$41,"COUNTY",$S$16:$S$41)</f>
        <v>0</v>
      </c>
    </row>
    <row r="7" spans="1:28" s="57" customFormat="1" ht="16.5" thickBot="1" x14ac:dyDescent="0.25">
      <c r="A7" s="1384" t="s">
        <v>5</v>
      </c>
      <c r="B7" s="1385"/>
      <c r="C7" s="1385"/>
      <c r="D7" s="1282"/>
      <c r="E7" s="1283"/>
      <c r="F7" s="1693" t="s">
        <v>21</v>
      </c>
      <c r="G7" s="1664"/>
      <c r="H7" s="241"/>
      <c r="I7" s="1776" t="s">
        <v>3</v>
      </c>
      <c r="J7" s="1776"/>
      <c r="K7" s="1776"/>
      <c r="L7" s="1777"/>
      <c r="M7" s="235"/>
      <c r="N7" s="242"/>
      <c r="O7" s="236"/>
      <c r="P7" s="238"/>
      <c r="Q7" s="1778" t="s">
        <v>235</v>
      </c>
      <c r="R7" s="1779"/>
      <c r="S7" s="1779"/>
      <c r="T7" s="1779"/>
      <c r="U7" s="1779"/>
      <c r="V7" s="1779"/>
      <c r="W7" s="1780"/>
      <c r="Y7" s="172" t="s">
        <v>52</v>
      </c>
      <c r="Z7" s="176">
        <f>SUMIF($G$16:$G$41,"CITY",$K$16:$K$41)</f>
        <v>0</v>
      </c>
      <c r="AA7" s="176">
        <f>SUMIF($G$16:$G$41,"CITY",$S$16:$S$41)</f>
        <v>0</v>
      </c>
    </row>
    <row r="8" spans="1:28" s="57" customFormat="1" ht="15.75" customHeight="1" x14ac:dyDescent="0.2">
      <c r="A8" s="1394" t="s">
        <v>54</v>
      </c>
      <c r="B8" s="1395"/>
      <c r="C8" s="1395"/>
      <c r="D8" s="1781">
        <v>1</v>
      </c>
      <c r="E8" s="1809"/>
      <c r="F8" s="1379" t="s">
        <v>381</v>
      </c>
      <c r="G8" s="1380"/>
      <c r="H8" s="187"/>
      <c r="I8" s="1785"/>
      <c r="J8" s="1785"/>
      <c r="K8" s="1785"/>
      <c r="L8" s="1785"/>
      <c r="M8" s="1333" t="s">
        <v>257</v>
      </c>
      <c r="N8" s="1333"/>
      <c r="O8" s="55"/>
      <c r="P8" s="239"/>
      <c r="Q8" s="1772" t="s">
        <v>303</v>
      </c>
      <c r="R8" s="1726"/>
      <c r="S8" s="1726"/>
      <c r="T8" s="1726"/>
      <c r="U8" s="1726"/>
      <c r="V8" s="1726"/>
      <c r="W8" s="1773"/>
      <c r="Y8" s="172" t="s">
        <v>230</v>
      </c>
      <c r="Z8" s="176">
        <f>SUMIF($G$16:$G$41,"COURT",$K$16:$K$41)</f>
        <v>17.149999999999999</v>
      </c>
      <c r="AA8" s="176">
        <f>SUMIF($G$16:$G$41,"COURT",$S$16:$S$41)</f>
        <v>0</v>
      </c>
    </row>
    <row r="9" spans="1:28" s="57" customFormat="1" ht="18" customHeight="1" thickBot="1" x14ac:dyDescent="0.25">
      <c r="A9" s="1402" t="s">
        <v>53</v>
      </c>
      <c r="B9" s="1403"/>
      <c r="C9" s="1403"/>
      <c r="D9" s="1404">
        <f>100%-D8</f>
        <v>0</v>
      </c>
      <c r="E9" s="1405"/>
      <c r="F9" s="1386" t="s">
        <v>244</v>
      </c>
      <c r="G9" s="1387"/>
      <c r="H9" s="185"/>
      <c r="I9" s="1393"/>
      <c r="J9" s="1393"/>
      <c r="K9" s="1393"/>
      <c r="L9" s="1393"/>
      <c r="M9" s="1388" t="s">
        <v>22</v>
      </c>
      <c r="N9" s="1388"/>
      <c r="O9" s="58"/>
      <c r="P9" s="239"/>
      <c r="Q9" s="1774"/>
      <c r="R9" s="1729"/>
      <c r="S9" s="1729"/>
      <c r="T9" s="1729"/>
      <c r="U9" s="1729"/>
      <c r="V9" s="1729"/>
      <c r="W9" s="1775"/>
      <c r="Y9" s="153" t="s">
        <v>446</v>
      </c>
      <c r="Z9" s="176">
        <f>SUMIF($G$16:$G$41,"CNTY or CTY",$K$16:$K$41)</f>
        <v>0</v>
      </c>
      <c r="AA9" s="176">
        <f>SUMIF($G$16:$G$41,"CNTY or CTY",$S$16:$S$41)</f>
        <v>0</v>
      </c>
    </row>
    <row r="10" spans="1:28" s="57" customFormat="1" ht="16.5" customHeight="1" thickBot="1" x14ac:dyDescent="0.25">
      <c r="A10" s="1436" t="s">
        <v>276</v>
      </c>
      <c r="B10" s="1437"/>
      <c r="C10" s="1437"/>
      <c r="D10" s="1651">
        <f>O6+O10</f>
        <v>0</v>
      </c>
      <c r="E10" s="1652"/>
      <c r="F10" s="1386" t="s">
        <v>20</v>
      </c>
      <c r="G10" s="1387"/>
      <c r="H10" s="185"/>
      <c r="I10" s="1393"/>
      <c r="J10" s="1393"/>
      <c r="K10" s="1393"/>
      <c r="L10" s="1393"/>
      <c r="M10" s="1389" t="s">
        <v>233</v>
      </c>
      <c r="N10" s="1389"/>
      <c r="O10" s="212">
        <f>O8+O9*10</f>
        <v>0</v>
      </c>
      <c r="P10" s="240"/>
      <c r="Q10" s="1769" t="s">
        <v>239</v>
      </c>
      <c r="R10" s="1770"/>
      <c r="S10" s="1770"/>
      <c r="T10" s="1770"/>
      <c r="U10" s="1770"/>
      <c r="V10" s="1770"/>
      <c r="W10" s="1771"/>
      <c r="Y10" s="540" t="s">
        <v>246</v>
      </c>
      <c r="Z10" s="148">
        <f>SUM(Z5:Z9)</f>
        <v>79</v>
      </c>
      <c r="AA10" s="148">
        <f>SUM(AA5:AA9)</f>
        <v>0</v>
      </c>
    </row>
    <row r="11" spans="1:28" s="57" customFormat="1" ht="16.5" customHeight="1" thickBot="1" x14ac:dyDescent="0.25">
      <c r="A11" s="1439" t="s">
        <v>277</v>
      </c>
      <c r="B11" s="1440"/>
      <c r="C11" s="1440"/>
      <c r="D11" s="1649">
        <f>ROUNDUP(D10/10,0)</f>
        <v>0</v>
      </c>
      <c r="E11" s="1650"/>
      <c r="F11" s="1398" t="s">
        <v>21</v>
      </c>
      <c r="G11" s="1399"/>
      <c r="H11" s="186"/>
      <c r="I11" s="1754"/>
      <c r="J11" s="1754"/>
      <c r="K11" s="1754"/>
      <c r="L11" s="2077"/>
      <c r="M11" s="1400" t="s">
        <v>568</v>
      </c>
      <c r="N11" s="1401"/>
      <c r="O11" s="780">
        <f>'1-DUI (Reduce Base)'!P11</f>
        <v>5</v>
      </c>
      <c r="P11" s="240"/>
      <c r="Q11" s="1755" t="s">
        <v>430</v>
      </c>
      <c r="R11" s="1756"/>
      <c r="S11" s="1756"/>
      <c r="T11" s="1756"/>
      <c r="U11" s="1756"/>
      <c r="V11" s="1756"/>
      <c r="W11" s="1757"/>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544">
        <v>0.02</v>
      </c>
      <c r="B14" s="544" t="s">
        <v>58</v>
      </c>
      <c r="C14" s="1364" t="s">
        <v>226</v>
      </c>
      <c r="D14" s="1365"/>
      <c r="E14" s="1365"/>
      <c r="F14" s="1366"/>
      <c r="G14" s="548" t="s">
        <v>249</v>
      </c>
      <c r="H14" s="114" t="s">
        <v>0</v>
      </c>
      <c r="I14" s="542" t="s">
        <v>298</v>
      </c>
      <c r="J14" s="1747" t="s">
        <v>6</v>
      </c>
      <c r="K14" s="547" t="s">
        <v>299</v>
      </c>
      <c r="L14" s="67"/>
      <c r="M14" s="1716" t="s">
        <v>260</v>
      </c>
      <c r="N14" s="1717"/>
      <c r="O14" s="546" t="s">
        <v>248</v>
      </c>
      <c r="P14" s="121"/>
      <c r="Q14" s="690" t="s">
        <v>428</v>
      </c>
      <c r="R14" s="1747" t="s">
        <v>6</v>
      </c>
      <c r="S14" s="547" t="s">
        <v>299</v>
      </c>
      <c r="T14" s="228"/>
      <c r="U14" s="541" t="s">
        <v>256</v>
      </c>
      <c r="V14" s="1749" t="s">
        <v>61</v>
      </c>
      <c r="W14" s="1751" t="s">
        <v>384</v>
      </c>
    </row>
    <row r="15" spans="1:28" ht="30.75" customHeight="1" thickBot="1" x14ac:dyDescent="0.25">
      <c r="A15" s="545"/>
      <c r="B15" s="545"/>
      <c r="C15" s="1367"/>
      <c r="D15" s="1368"/>
      <c r="E15" s="1368"/>
      <c r="F15" s="1369"/>
      <c r="G15" s="549"/>
      <c r="H15" s="549"/>
      <c r="I15" s="543"/>
      <c r="J15" s="1748"/>
      <c r="K15" s="244" t="s">
        <v>42</v>
      </c>
      <c r="L15" s="68"/>
      <c r="M15" s="1714"/>
      <c r="N15" s="1715"/>
      <c r="O15" s="245" t="s">
        <v>43</v>
      </c>
      <c r="P15" s="121"/>
      <c r="Q15" s="246" t="e">
        <f>(Q35-Q31)/(I35-I31)</f>
        <v>#DIV/0!</v>
      </c>
      <c r="R15" s="1748"/>
      <c r="S15" s="244" t="s">
        <v>44</v>
      </c>
      <c r="T15" s="228"/>
      <c r="U15" s="298" t="s">
        <v>300</v>
      </c>
      <c r="V15" s="1750"/>
      <c r="W15" s="1752"/>
    </row>
    <row r="16" spans="1:28" s="74" customFormat="1" ht="15.75" thickTop="1" x14ac:dyDescent="0.2">
      <c r="A16" s="69" t="s">
        <v>8</v>
      </c>
      <c r="B16" s="1660" t="s">
        <v>241</v>
      </c>
      <c r="C16" s="1745" t="s">
        <v>475</v>
      </c>
      <c r="D16" s="1692"/>
      <c r="E16" s="1692"/>
      <c r="F16" s="1692"/>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660"/>
      <c r="C17" s="1746" t="s">
        <v>553</v>
      </c>
      <c r="D17" s="1659"/>
      <c r="E17" s="1659"/>
      <c r="F17" s="1659"/>
      <c r="G17" s="694" t="s">
        <v>31</v>
      </c>
      <c r="H17" s="77" t="s">
        <v>75</v>
      </c>
      <c r="I17" s="156">
        <v>3</v>
      </c>
      <c r="J17" s="162">
        <f t="shared" si="0"/>
        <v>0.06</v>
      </c>
      <c r="K17" s="167">
        <f t="shared" si="1"/>
        <v>2.94</v>
      </c>
      <c r="L17" s="164"/>
      <c r="M17" s="1665"/>
      <c r="N17" s="1666"/>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660"/>
      <c r="C18" s="1746" t="s">
        <v>554</v>
      </c>
      <c r="D18" s="1659"/>
      <c r="E18" s="1659"/>
      <c r="F18" s="1659"/>
      <c r="G18" s="694" t="s">
        <v>31</v>
      </c>
      <c r="H18" s="77" t="s">
        <v>10</v>
      </c>
      <c r="I18" s="156">
        <v>10</v>
      </c>
      <c r="J18" s="162">
        <f t="shared" si="0"/>
        <v>0.2</v>
      </c>
      <c r="K18" s="167">
        <f t="shared" si="1"/>
        <v>9.8000000000000007</v>
      </c>
      <c r="L18" s="164"/>
      <c r="M18" s="1665"/>
      <c r="N18" s="1666"/>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660"/>
      <c r="C19" s="1659" t="s">
        <v>212</v>
      </c>
      <c r="D19" s="1659"/>
      <c r="E19" s="1659"/>
      <c r="F19" s="1659"/>
      <c r="G19" s="694" t="s">
        <v>32</v>
      </c>
      <c r="H19" s="77" t="s">
        <v>27</v>
      </c>
      <c r="I19" s="155">
        <f>(D10-SUM(I16:I18))*D8</f>
        <v>-30.5</v>
      </c>
      <c r="J19" s="162">
        <f t="shared" si="0"/>
        <v>-0.61</v>
      </c>
      <c r="K19" s="167">
        <f t="shared" si="1"/>
        <v>-29.89</v>
      </c>
      <c r="L19" s="164"/>
      <c r="M19" s="1665"/>
      <c r="N19" s="1666"/>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661"/>
      <c r="C20" s="1659" t="s">
        <v>213</v>
      </c>
      <c r="D20" s="1659"/>
      <c r="E20" s="1659"/>
      <c r="F20" s="1659"/>
      <c r="G20" s="694" t="s">
        <v>52</v>
      </c>
      <c r="H20" s="77" t="s">
        <v>25</v>
      </c>
      <c r="I20" s="155">
        <f>(D10-SUM(I16:I18))*D9</f>
        <v>0</v>
      </c>
      <c r="J20" s="162">
        <f t="shared" si="0"/>
        <v>0</v>
      </c>
      <c r="K20" s="167">
        <f t="shared" si="1"/>
        <v>0</v>
      </c>
      <c r="L20" s="164"/>
      <c r="M20" s="1665"/>
      <c r="N20" s="1666"/>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659" t="s">
        <v>546</v>
      </c>
      <c r="D21" s="1659"/>
      <c r="E21" s="1659"/>
      <c r="F21" s="1659"/>
      <c r="G21" s="694" t="s">
        <v>31</v>
      </c>
      <c r="H21" s="77" t="s">
        <v>26</v>
      </c>
      <c r="I21" s="155">
        <f>$D$11*B21</f>
        <v>0</v>
      </c>
      <c r="J21" s="162">
        <f t="shared" si="0"/>
        <v>0</v>
      </c>
      <c r="K21" s="167">
        <f t="shared" si="1"/>
        <v>0</v>
      </c>
      <c r="L21" s="164"/>
      <c r="M21" s="1665"/>
      <c r="N21" s="1666"/>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659" t="s">
        <v>547</v>
      </c>
      <c r="D22" s="1659"/>
      <c r="E22" s="1659"/>
      <c r="F22" s="1659"/>
      <c r="G22" s="694" t="s">
        <v>32</v>
      </c>
      <c r="H22" s="77" t="s">
        <v>27</v>
      </c>
      <c r="I22" s="155">
        <f t="shared" ref="I22:I33" si="6">$D$11*B22</f>
        <v>0</v>
      </c>
      <c r="J22" s="162">
        <f t="shared" si="0"/>
        <v>0</v>
      </c>
      <c r="K22" s="167">
        <f t="shared" si="1"/>
        <v>0</v>
      </c>
      <c r="L22" s="164"/>
      <c r="M22" s="1665"/>
      <c r="N22" s="1666"/>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665" t="s">
        <v>216</v>
      </c>
      <c r="D23" s="1700"/>
      <c r="E23" s="1700"/>
      <c r="F23" s="1701"/>
      <c r="G23" s="694" t="s">
        <v>32</v>
      </c>
      <c r="H23" s="77" t="s">
        <v>55</v>
      </c>
      <c r="I23" s="155">
        <f t="shared" si="6"/>
        <v>0</v>
      </c>
      <c r="J23" s="162">
        <f t="shared" si="0"/>
        <v>0</v>
      </c>
      <c r="K23" s="167">
        <f t="shared" si="1"/>
        <v>0</v>
      </c>
      <c r="L23" s="164"/>
      <c r="M23" s="1665"/>
      <c r="N23" s="1666"/>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665" t="s">
        <v>466</v>
      </c>
      <c r="D24" s="1700"/>
      <c r="E24" s="1700"/>
      <c r="F24" s="1701"/>
      <c r="G24" s="694" t="s">
        <v>31</v>
      </c>
      <c r="H24" s="77" t="s">
        <v>72</v>
      </c>
      <c r="I24" s="155">
        <f t="shared" si="6"/>
        <v>0</v>
      </c>
      <c r="J24" s="162">
        <f t="shared" si="0"/>
        <v>0</v>
      </c>
      <c r="K24" s="167">
        <f t="shared" si="1"/>
        <v>0</v>
      </c>
      <c r="L24" s="164"/>
      <c r="M24" s="1665"/>
      <c r="N24" s="1666"/>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659" t="s">
        <v>217</v>
      </c>
      <c r="D25" s="1659"/>
      <c r="E25" s="1739" t="str">
        <f>IF(SUM(B25:B29)=O11,"GC 76000 PA ($" &amp;O11 &amp; " for every 10) breakdown per local board of supervisor resolution (BOS).","ERROR! GC 76000 PA total is not $" &amp;O11&amp; ". Check Court's board resolution.")</f>
        <v>ERROR! GC 76000 PA total is not $5. Check Court's board resolution.</v>
      </c>
      <c r="F25" s="1740"/>
      <c r="G25" s="694" t="s">
        <v>32</v>
      </c>
      <c r="H25" s="77" t="s">
        <v>64</v>
      </c>
      <c r="I25" s="155">
        <f t="shared" si="6"/>
        <v>0</v>
      </c>
      <c r="J25" s="162">
        <f t="shared" si="0"/>
        <v>0</v>
      </c>
      <c r="K25" s="167">
        <f t="shared" si="1"/>
        <v>0</v>
      </c>
      <c r="L25" s="164"/>
      <c r="M25" s="1665"/>
      <c r="N25" s="1666"/>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659" t="s">
        <v>218</v>
      </c>
      <c r="D26" s="1659"/>
      <c r="E26" s="1741"/>
      <c r="F26" s="1742"/>
      <c r="G26" s="694" t="s">
        <v>32</v>
      </c>
      <c r="H26" s="77" t="s">
        <v>35</v>
      </c>
      <c r="I26" s="155">
        <f t="shared" si="6"/>
        <v>0</v>
      </c>
      <c r="J26" s="162">
        <f t="shared" si="0"/>
        <v>0</v>
      </c>
      <c r="K26" s="167">
        <f t="shared" si="1"/>
        <v>0</v>
      </c>
      <c r="L26" s="164"/>
      <c r="M26" s="1665"/>
      <c r="N26" s="1666"/>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659" t="s">
        <v>219</v>
      </c>
      <c r="D27" s="1659"/>
      <c r="E27" s="1741"/>
      <c r="F27" s="1742"/>
      <c r="G27" s="694" t="s">
        <v>32</v>
      </c>
      <c r="H27" s="77" t="s">
        <v>65</v>
      </c>
      <c r="I27" s="155">
        <f t="shared" si="6"/>
        <v>0</v>
      </c>
      <c r="J27" s="162">
        <f t="shared" si="0"/>
        <v>0</v>
      </c>
      <c r="K27" s="167">
        <f t="shared" si="1"/>
        <v>0</v>
      </c>
      <c r="L27" s="164"/>
      <c r="M27" s="1665"/>
      <c r="N27" s="1666"/>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659" t="s">
        <v>401</v>
      </c>
      <c r="D28" s="1659"/>
      <c r="E28" s="1741"/>
      <c r="F28" s="1742"/>
      <c r="G28" s="694" t="s">
        <v>32</v>
      </c>
      <c r="H28" s="77" t="s">
        <v>65</v>
      </c>
      <c r="I28" s="155">
        <f>$D$11*B28</f>
        <v>0</v>
      </c>
      <c r="J28" s="162">
        <f>IF(A28="Y", I28*2%,0)</f>
        <v>0</v>
      </c>
      <c r="K28" s="167">
        <f t="shared" si="1"/>
        <v>0</v>
      </c>
      <c r="L28" s="164"/>
      <c r="M28" s="1665"/>
      <c r="N28" s="1666"/>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659" t="s">
        <v>254</v>
      </c>
      <c r="D29" s="1659"/>
      <c r="E29" s="1743"/>
      <c r="F29" s="1744"/>
      <c r="G29" s="694" t="s">
        <v>32</v>
      </c>
      <c r="H29" s="77"/>
      <c r="I29" s="155">
        <f t="shared" si="6"/>
        <v>0</v>
      </c>
      <c r="J29" s="162">
        <f t="shared" si="0"/>
        <v>0</v>
      </c>
      <c r="K29" s="167">
        <f t="shared" si="1"/>
        <v>0</v>
      </c>
      <c r="L29" s="164"/>
      <c r="M29" s="1665"/>
      <c r="N29" s="1666"/>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449" t="s">
        <v>286</v>
      </c>
      <c r="D30" s="1459"/>
      <c r="E30" s="1459"/>
      <c r="F30" s="1460"/>
      <c r="G30" s="702" t="s">
        <v>32</v>
      </c>
      <c r="H30" s="84" t="s">
        <v>36</v>
      </c>
      <c r="I30" s="155">
        <f t="shared" si="6"/>
        <v>0</v>
      </c>
      <c r="J30" s="162">
        <f t="shared" si="0"/>
        <v>0</v>
      </c>
      <c r="K30" s="167">
        <f t="shared" si="1"/>
        <v>0</v>
      </c>
      <c r="L30" s="164"/>
      <c r="M30" s="1665"/>
      <c r="N30" s="1666"/>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449" t="s">
        <v>385</v>
      </c>
      <c r="D31" s="1459"/>
      <c r="E31" s="1459"/>
      <c r="F31" s="1460"/>
      <c r="G31" s="702" t="s">
        <v>31</v>
      </c>
      <c r="H31" s="91" t="s">
        <v>39</v>
      </c>
      <c r="I31" s="204">
        <v>4</v>
      </c>
      <c r="J31" s="162">
        <f>IF(A31="Y", I31*2%,0)</f>
        <v>0.08</v>
      </c>
      <c r="K31" s="167">
        <f t="shared" si="1"/>
        <v>3.92</v>
      </c>
      <c r="L31" s="164"/>
      <c r="M31" s="1665"/>
      <c r="N31" s="1666"/>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449" t="s">
        <v>555</v>
      </c>
      <c r="D32" s="1459"/>
      <c r="E32" s="1460"/>
      <c r="F32" s="1591" t="s">
        <v>281</v>
      </c>
      <c r="G32" s="702" t="s">
        <v>31</v>
      </c>
      <c r="H32" s="84" t="s">
        <v>37</v>
      </c>
      <c r="I32" s="155">
        <f t="shared" si="6"/>
        <v>0</v>
      </c>
      <c r="J32" s="162">
        <f t="shared" si="0"/>
        <v>0</v>
      </c>
      <c r="K32" s="167">
        <f t="shared" si="1"/>
        <v>0</v>
      </c>
      <c r="L32" s="164"/>
      <c r="M32" s="1665"/>
      <c r="N32" s="1666"/>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449" t="s">
        <v>556</v>
      </c>
      <c r="D33" s="1459"/>
      <c r="E33" s="1460"/>
      <c r="F33" s="1592"/>
      <c r="G33" s="702" t="s">
        <v>31</v>
      </c>
      <c r="H33" s="84" t="s">
        <v>197</v>
      </c>
      <c r="I33" s="155">
        <f t="shared" si="6"/>
        <v>0</v>
      </c>
      <c r="J33" s="162">
        <f t="shared" si="0"/>
        <v>0</v>
      </c>
      <c r="K33" s="167">
        <f t="shared" si="1"/>
        <v>0</v>
      </c>
      <c r="L33" s="164"/>
      <c r="M33" s="1665"/>
      <c r="N33" s="1666"/>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449" t="s">
        <v>220</v>
      </c>
      <c r="D34" s="1459"/>
      <c r="E34" s="1459"/>
      <c r="F34" s="1460"/>
      <c r="G34" s="702" t="s">
        <v>31</v>
      </c>
      <c r="H34" s="84" t="s">
        <v>10</v>
      </c>
      <c r="I34" s="155">
        <f>$D$10*20%</f>
        <v>0</v>
      </c>
      <c r="J34" s="162">
        <f t="shared" si="0"/>
        <v>0</v>
      </c>
      <c r="K34" s="167">
        <f t="shared" si="1"/>
        <v>0</v>
      </c>
      <c r="L34" s="164"/>
      <c r="M34" s="1665"/>
      <c r="N34" s="1666"/>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456" t="s">
        <v>221</v>
      </c>
      <c r="D35" s="1694"/>
      <c r="E35" s="1694"/>
      <c r="F35" s="1695"/>
      <c r="G35" s="703"/>
      <c r="H35" s="88"/>
      <c r="I35" s="157">
        <f>SUM(I16:I34)</f>
        <v>4</v>
      </c>
      <c r="J35" s="162"/>
      <c r="K35" s="168">
        <f>SUM(K16:K34)</f>
        <v>3.92</v>
      </c>
      <c r="L35" s="165"/>
      <c r="M35" s="1449"/>
      <c r="N35" s="1699"/>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449" t="s">
        <v>419</v>
      </c>
      <c r="D36" s="1459"/>
      <c r="E36" s="1459"/>
      <c r="F36" s="1460"/>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446" t="s">
        <v>259</v>
      </c>
      <c r="D37" s="1447"/>
      <c r="E37" s="1447"/>
      <c r="F37" s="1448"/>
      <c r="G37" s="704" t="s">
        <v>31</v>
      </c>
      <c r="H37" s="92" t="s">
        <v>197</v>
      </c>
      <c r="I37" s="204">
        <v>35</v>
      </c>
      <c r="J37" s="162">
        <f t="shared" ref="J37:J40" si="7">IF(A37="Y", I37*2%,0)</f>
        <v>0</v>
      </c>
      <c r="K37" s="167">
        <f>I37-J37</f>
        <v>35</v>
      </c>
      <c r="L37" s="164"/>
      <c r="M37" s="1665"/>
      <c r="N37" s="1666"/>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446" t="s">
        <v>421</v>
      </c>
      <c r="D38" s="1447"/>
      <c r="E38" s="1447"/>
      <c r="F38" s="1448"/>
      <c r="G38" s="704" t="s">
        <v>230</v>
      </c>
      <c r="H38" s="92" t="s">
        <v>24</v>
      </c>
      <c r="I38" s="204"/>
      <c r="J38" s="162">
        <f t="shared" si="7"/>
        <v>0</v>
      </c>
      <c r="K38" s="167">
        <f>I38-J38</f>
        <v>0</v>
      </c>
      <c r="L38" s="164"/>
      <c r="M38" s="1665"/>
      <c r="N38" s="1666"/>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449" t="s">
        <v>517</v>
      </c>
      <c r="D39" s="1459"/>
      <c r="E39" s="1459"/>
      <c r="F39" s="1460"/>
      <c r="G39" s="704" t="s">
        <v>230</v>
      </c>
      <c r="H39" s="92" t="s">
        <v>82</v>
      </c>
      <c r="I39" s="204"/>
      <c r="J39" s="162">
        <f t="shared" si="7"/>
        <v>0</v>
      </c>
      <c r="K39" s="167">
        <f>I39-J39</f>
        <v>0</v>
      </c>
      <c r="L39" s="164"/>
      <c r="M39" s="1665"/>
      <c r="N39" s="1666"/>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446" t="s">
        <v>225</v>
      </c>
      <c r="D40" s="1447"/>
      <c r="E40" s="1447"/>
      <c r="F40" s="1448"/>
      <c r="G40" s="704" t="s">
        <v>31</v>
      </c>
      <c r="H40" s="92" t="s">
        <v>80</v>
      </c>
      <c r="I40" s="205"/>
      <c r="J40" s="162">
        <f t="shared" si="7"/>
        <v>0</v>
      </c>
      <c r="K40" s="167">
        <f>I40-J40</f>
        <v>0</v>
      </c>
      <c r="L40" s="164"/>
      <c r="M40" s="1665"/>
      <c r="N40" s="1666"/>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665" t="s">
        <v>492</v>
      </c>
      <c r="D41" s="1700"/>
      <c r="E41" s="1700"/>
      <c r="F41" s="1701"/>
      <c r="G41" s="705" t="s">
        <v>31</v>
      </c>
      <c r="H41" s="96" t="s">
        <v>41</v>
      </c>
      <c r="I41" s="97"/>
      <c r="J41" s="163"/>
      <c r="K41" s="169">
        <f>J42</f>
        <v>8.0000000000000113E-2</v>
      </c>
      <c r="L41" s="164"/>
      <c r="M41" s="1665"/>
      <c r="N41" s="1666"/>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1736" t="s">
        <v>61</v>
      </c>
      <c r="B44" s="1736"/>
      <c r="C44" s="1736"/>
      <c r="D44" s="210"/>
      <c r="E44" s="133"/>
      <c r="F44" s="133"/>
      <c r="K44" s="135"/>
      <c r="L44" s="136"/>
      <c r="P44" s="137"/>
      <c r="Q44" s="137"/>
      <c r="R44" s="137"/>
      <c r="S44" s="137"/>
      <c r="T44" s="137"/>
      <c r="U44" s="138"/>
      <c r="V44" s="138"/>
      <c r="W44" s="139"/>
    </row>
    <row r="45" spans="1:28" s="141" customFormat="1" ht="18" customHeight="1" x14ac:dyDescent="0.2">
      <c r="A45" s="769">
        <v>1</v>
      </c>
      <c r="B45" s="1648"/>
      <c r="C45" s="1648"/>
      <c r="D45" s="1648"/>
      <c r="E45" s="1648"/>
      <c r="F45" s="1648"/>
      <c r="G45" s="1648"/>
      <c r="H45" s="1648"/>
      <c r="I45" s="1648"/>
      <c r="J45" s="1648"/>
      <c r="K45" s="1648"/>
      <c r="L45" s="1648"/>
      <c r="M45" s="1648"/>
      <c r="N45" s="1648"/>
      <c r="O45" s="1648"/>
      <c r="P45" s="1648"/>
      <c r="Q45" s="1648"/>
      <c r="R45" s="1648"/>
      <c r="S45" s="1648"/>
      <c r="T45" s="1648"/>
      <c r="U45" s="1648"/>
      <c r="V45" s="1648"/>
      <c r="W45" s="1648"/>
    </row>
    <row r="46" spans="1:28" s="141" customFormat="1" ht="18" customHeight="1" x14ac:dyDescent="0.2">
      <c r="A46" s="769">
        <v>2</v>
      </c>
      <c r="B46" s="1648"/>
      <c r="C46" s="1648"/>
      <c r="D46" s="1648"/>
      <c r="E46" s="1648"/>
      <c r="F46" s="1648"/>
      <c r="G46" s="1648"/>
      <c r="H46" s="1648"/>
      <c r="I46" s="1648"/>
      <c r="J46" s="1648"/>
      <c r="K46" s="1648"/>
      <c r="L46" s="1648"/>
      <c r="M46" s="1648"/>
      <c r="N46" s="1648"/>
      <c r="O46" s="1648"/>
      <c r="P46" s="1648"/>
      <c r="Q46" s="1648"/>
      <c r="R46" s="1648"/>
      <c r="S46" s="1648"/>
      <c r="T46" s="1648"/>
      <c r="U46" s="1648"/>
      <c r="V46" s="1648"/>
      <c r="W46" s="1648"/>
    </row>
    <row r="47" spans="1:28" s="141" customFormat="1" ht="18" customHeight="1" x14ac:dyDescent="0.2">
      <c r="A47" s="769">
        <v>3</v>
      </c>
      <c r="B47" s="1648"/>
      <c r="C47" s="1648"/>
      <c r="D47" s="1648"/>
      <c r="E47" s="1648"/>
      <c r="F47" s="1648"/>
      <c r="G47" s="1648"/>
      <c r="H47" s="1648"/>
      <c r="I47" s="1648"/>
      <c r="J47" s="1648"/>
      <c r="K47" s="1648"/>
      <c r="L47" s="1648"/>
      <c r="M47" s="1648"/>
      <c r="N47" s="1648"/>
      <c r="O47" s="1648"/>
      <c r="P47" s="1648"/>
      <c r="Q47" s="1648"/>
      <c r="R47" s="1648"/>
      <c r="S47" s="1648"/>
      <c r="T47" s="1648"/>
      <c r="U47" s="1648"/>
      <c r="V47" s="1648"/>
      <c r="W47" s="1648"/>
    </row>
    <row r="48" spans="1:28" s="54" customFormat="1" ht="20.25" customHeight="1" x14ac:dyDescent="0.2">
      <c r="A48" s="769">
        <v>4</v>
      </c>
      <c r="B48" s="1648"/>
      <c r="C48" s="1648"/>
      <c r="D48" s="1648"/>
      <c r="E48" s="1648"/>
      <c r="F48" s="1648"/>
      <c r="G48" s="1648"/>
      <c r="H48" s="1648"/>
      <c r="I48" s="1648"/>
      <c r="J48" s="1648"/>
      <c r="K48" s="1648"/>
      <c r="L48" s="1648"/>
      <c r="M48" s="1648"/>
      <c r="N48" s="1648"/>
      <c r="O48" s="1648"/>
      <c r="P48" s="1648"/>
      <c r="Q48" s="1648"/>
      <c r="R48" s="1648"/>
      <c r="S48" s="1648"/>
      <c r="T48" s="1648"/>
      <c r="U48" s="1648"/>
      <c r="V48" s="1648"/>
      <c r="W48" s="1648"/>
    </row>
  </sheetData>
  <sheetProtection insertRows="0"/>
  <mergeCells count="118">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M29:N29"/>
    <mergeCell ref="C28:D28"/>
    <mergeCell ref="M28:N28"/>
    <mergeCell ref="B16:B20"/>
    <mergeCell ref="C16:F16"/>
    <mergeCell ref="C17:F17"/>
    <mergeCell ref="C18:F18"/>
    <mergeCell ref="C19:F19"/>
    <mergeCell ref="M19:N19"/>
    <mergeCell ref="C20:F20"/>
    <mergeCell ref="M20:N20"/>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2060" t="s">
        <v>109</v>
      </c>
      <c r="B1" s="2061"/>
      <c r="C1" s="2061"/>
      <c r="D1" s="2061"/>
      <c r="E1" s="2061"/>
      <c r="F1" s="2061"/>
      <c r="G1" s="2061"/>
      <c r="H1" s="2061"/>
      <c r="I1" s="2061"/>
      <c r="J1" s="2061"/>
      <c r="K1" s="2061"/>
      <c r="L1" s="2065"/>
      <c r="M1" s="2065"/>
      <c r="N1" s="2065"/>
      <c r="O1" s="2065"/>
      <c r="P1" s="2065"/>
      <c r="Q1" s="2065"/>
      <c r="R1" s="2065"/>
      <c r="S1" s="2065"/>
      <c r="T1" s="2065"/>
      <c r="U1" s="2065"/>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062" t="s">
        <v>234</v>
      </c>
      <c r="B3" s="2063"/>
      <c r="C3" s="2063"/>
      <c r="D3" s="2063"/>
      <c r="E3" s="2063"/>
      <c r="F3" s="2063"/>
      <c r="G3" s="2063"/>
      <c r="H3" s="2063"/>
      <c r="I3" s="2063"/>
      <c r="J3" s="2063"/>
      <c r="K3" s="2063"/>
      <c r="L3" s="2063"/>
      <c r="M3" s="2063"/>
      <c r="N3" s="2063"/>
      <c r="O3" s="2064"/>
      <c r="P3" s="355"/>
      <c r="Q3" s="2066" t="s">
        <v>261</v>
      </c>
      <c r="R3" s="2067"/>
      <c r="S3" s="2067"/>
      <c r="T3" s="2067"/>
      <c r="U3" s="2067"/>
      <c r="V3" s="2067"/>
      <c r="W3" s="2068"/>
      <c r="Y3" s="356" t="s">
        <v>250</v>
      </c>
      <c r="Z3" s="357"/>
    </row>
    <row r="4" spans="1:28" s="361" customFormat="1" ht="16.5" thickBot="1" x14ac:dyDescent="0.25">
      <c r="A4" s="2069" t="s">
        <v>231</v>
      </c>
      <c r="B4" s="2070"/>
      <c r="C4" s="2070"/>
      <c r="D4" s="2071">
        <f>L1</f>
        <v>0</v>
      </c>
      <c r="E4" s="2072"/>
      <c r="F4" s="2055" t="s">
        <v>28</v>
      </c>
      <c r="G4" s="2056"/>
      <c r="H4" s="358"/>
      <c r="I4" s="2057" t="s">
        <v>350</v>
      </c>
      <c r="J4" s="2057"/>
      <c r="K4" s="2057"/>
      <c r="L4" s="2058"/>
      <c r="M4" s="2073" t="s">
        <v>257</v>
      </c>
      <c r="N4" s="2073"/>
      <c r="O4" s="359" t="s">
        <v>342</v>
      </c>
      <c r="P4" s="360"/>
      <c r="Q4" s="2074" t="s">
        <v>236</v>
      </c>
      <c r="R4" s="2075"/>
      <c r="S4" s="2075"/>
      <c r="T4" s="2075"/>
      <c r="U4" s="2075"/>
      <c r="V4" s="2075"/>
      <c r="W4" s="2076"/>
      <c r="Y4" s="362" t="s">
        <v>308</v>
      </c>
      <c r="Z4" s="363" t="s">
        <v>309</v>
      </c>
      <c r="AA4" s="363" t="s">
        <v>310</v>
      </c>
    </row>
    <row r="5" spans="1:28" s="361" customFormat="1" ht="15.75" customHeight="1" x14ac:dyDescent="0.2">
      <c r="A5" s="2051" t="s">
        <v>4</v>
      </c>
      <c r="B5" s="2052"/>
      <c r="C5" s="2052"/>
      <c r="D5" s="2053"/>
      <c r="E5" s="2054"/>
      <c r="F5" s="2031" t="s">
        <v>244</v>
      </c>
      <c r="G5" s="2032"/>
      <c r="H5" s="364"/>
      <c r="I5" s="2033" t="s">
        <v>351</v>
      </c>
      <c r="J5" s="2033"/>
      <c r="K5" s="2033"/>
      <c r="L5" s="2034"/>
      <c r="M5" s="2016" t="s">
        <v>22</v>
      </c>
      <c r="N5" s="2016"/>
      <c r="O5" s="365" t="s">
        <v>342</v>
      </c>
      <c r="P5" s="360"/>
      <c r="Q5" s="2017" t="s">
        <v>352</v>
      </c>
      <c r="R5" s="2018"/>
      <c r="S5" s="2018"/>
      <c r="T5" s="2018"/>
      <c r="U5" s="2018"/>
      <c r="V5" s="2018"/>
      <c r="W5" s="2019"/>
      <c r="Y5" s="366" t="s">
        <v>31</v>
      </c>
      <c r="Z5" s="367">
        <f>SUMIF($G$16:$G$27,"STATE",$K$16:$K$27)</f>
        <v>386.66666666666663</v>
      </c>
      <c r="AA5" s="367">
        <f>SUMIF($G$16:$G$27,"STATE",$S$16:$S$27)</f>
        <v>0</v>
      </c>
    </row>
    <row r="6" spans="1:28" s="361" customFormat="1" ht="16.5" thickBot="1" x14ac:dyDescent="0.25">
      <c r="A6" s="2051" t="s">
        <v>12</v>
      </c>
      <c r="B6" s="2052"/>
      <c r="C6" s="2052"/>
      <c r="D6" s="2053"/>
      <c r="E6" s="2054"/>
      <c r="F6" s="2031" t="s">
        <v>20</v>
      </c>
      <c r="G6" s="2032"/>
      <c r="H6" s="364"/>
      <c r="I6" s="2033" t="s">
        <v>11</v>
      </c>
      <c r="J6" s="2033"/>
      <c r="K6" s="2033"/>
      <c r="L6" s="2034"/>
      <c r="M6" s="2008" t="s">
        <v>233</v>
      </c>
      <c r="N6" s="2008"/>
      <c r="O6" s="368"/>
      <c r="P6" s="360"/>
      <c r="Q6" s="2020"/>
      <c r="R6" s="2021"/>
      <c r="S6" s="2021"/>
      <c r="T6" s="2021"/>
      <c r="U6" s="2021"/>
      <c r="V6" s="2021"/>
      <c r="W6" s="2022"/>
      <c r="Y6" s="366" t="s">
        <v>32</v>
      </c>
      <c r="Z6" s="367">
        <f>SUMIF($G$16:$G$27,"COUNTY",$K$16:$K$27)</f>
        <v>333.33333333333331</v>
      </c>
      <c r="AA6" s="367">
        <f>SUMIF($G$16:$G$27,"COUNTY",$S$16:$S$27)</f>
        <v>0</v>
      </c>
    </row>
    <row r="7" spans="1:28" s="361" customFormat="1" ht="16.5" customHeight="1" thickBot="1" x14ac:dyDescent="0.25">
      <c r="A7" s="2051" t="s">
        <v>5</v>
      </c>
      <c r="B7" s="2052"/>
      <c r="C7" s="2052"/>
      <c r="D7" s="2059"/>
      <c r="E7" s="2054"/>
      <c r="F7" s="2027" t="s">
        <v>21</v>
      </c>
      <c r="G7" s="2028"/>
      <c r="H7" s="369"/>
      <c r="I7" s="2029" t="s">
        <v>379</v>
      </c>
      <c r="J7" s="2029"/>
      <c r="K7" s="2029"/>
      <c r="L7" s="2030"/>
      <c r="M7" s="370"/>
      <c r="N7" s="371"/>
      <c r="O7" s="372"/>
      <c r="P7" s="360"/>
      <c r="Q7" s="2009" t="s">
        <v>432</v>
      </c>
      <c r="R7" s="2010"/>
      <c r="S7" s="2010"/>
      <c r="T7" s="2010"/>
      <c r="U7" s="2010"/>
      <c r="V7" s="2010"/>
      <c r="W7" s="2011"/>
      <c r="Y7" s="366" t="s">
        <v>52</v>
      </c>
      <c r="Z7" s="367">
        <f>SUMIF($G$16:$G$27,"CITY",$K$16:$K$27)</f>
        <v>0</v>
      </c>
      <c r="AA7" s="367">
        <f>SUMIF($G$16:$G$27,"CITY",$S$16:$S$27)</f>
        <v>0</v>
      </c>
    </row>
    <row r="8" spans="1:28" s="361" customFormat="1" ht="15.75" customHeight="1" thickBot="1" x14ac:dyDescent="0.25">
      <c r="A8" s="2043" t="s">
        <v>54</v>
      </c>
      <c r="B8" s="2044"/>
      <c r="C8" s="2044"/>
      <c r="D8" s="2092" t="s">
        <v>342</v>
      </c>
      <c r="E8" s="2093"/>
      <c r="F8" s="2055" t="s">
        <v>253</v>
      </c>
      <c r="G8" s="2056"/>
      <c r="H8" s="358"/>
      <c r="I8" s="2057"/>
      <c r="J8" s="2057"/>
      <c r="K8" s="2057"/>
      <c r="L8" s="2058"/>
      <c r="M8" s="2015" t="s">
        <v>257</v>
      </c>
      <c r="N8" s="2015"/>
      <c r="O8" s="373" t="s">
        <v>342</v>
      </c>
      <c r="P8" s="374"/>
      <c r="Q8" s="2012"/>
      <c r="R8" s="2013"/>
      <c r="S8" s="2013"/>
      <c r="T8" s="2013"/>
      <c r="U8" s="2013"/>
      <c r="V8" s="2013"/>
      <c r="W8" s="2014"/>
      <c r="Y8" s="366" t="s">
        <v>230</v>
      </c>
      <c r="Z8" s="367">
        <f>SUMIF($G$16:$G$27,"COURT",$K$16:$K$27)</f>
        <v>0</v>
      </c>
      <c r="AA8" s="367">
        <f>SUMIF($G$16:$G$27,"COURT",$S$16:$S$27)</f>
        <v>0</v>
      </c>
    </row>
    <row r="9" spans="1:28" s="361" customFormat="1" ht="18" customHeight="1" thickTop="1" x14ac:dyDescent="0.2">
      <c r="A9" s="2037" t="s">
        <v>53</v>
      </c>
      <c r="B9" s="2038"/>
      <c r="C9" s="2038"/>
      <c r="D9" s="2035" t="s">
        <v>342</v>
      </c>
      <c r="E9" s="2036"/>
      <c r="F9" s="2031" t="s">
        <v>244</v>
      </c>
      <c r="G9" s="2032"/>
      <c r="H9" s="364"/>
      <c r="I9" s="2033"/>
      <c r="J9" s="2033"/>
      <c r="K9" s="2033"/>
      <c r="L9" s="2034"/>
      <c r="M9" s="2016" t="s">
        <v>22</v>
      </c>
      <c r="N9" s="2016"/>
      <c r="O9" s="365" t="s">
        <v>342</v>
      </c>
      <c r="P9" s="491"/>
      <c r="Q9" s="2094"/>
      <c r="R9" s="2094"/>
      <c r="S9" s="2094"/>
      <c r="T9" s="2094"/>
      <c r="U9" s="2094"/>
      <c r="V9" s="2094"/>
      <c r="W9" s="2094"/>
      <c r="Y9" s="700" t="s">
        <v>455</v>
      </c>
      <c r="Z9" s="176">
        <f>SUMIF($G$16:$G$27,"CNTY or CRT",$K$16:$K$27)</f>
        <v>0</v>
      </c>
      <c r="AA9" s="176">
        <f>SUMIF($G$16:$G$27,"CNTY or CRT",$S$16:$S$27)</f>
        <v>0</v>
      </c>
    </row>
    <row r="10" spans="1:28" s="361" customFormat="1" ht="16.5" customHeight="1" thickBot="1" x14ac:dyDescent="0.25">
      <c r="A10" s="2084" t="s">
        <v>471</v>
      </c>
      <c r="B10" s="2085"/>
      <c r="C10" s="2085"/>
      <c r="D10" s="2088">
        <v>500</v>
      </c>
      <c r="E10" s="2089"/>
      <c r="F10" s="2082" t="s">
        <v>20</v>
      </c>
      <c r="G10" s="2083"/>
      <c r="H10" s="364"/>
      <c r="I10" s="2033"/>
      <c r="J10" s="2033"/>
      <c r="K10" s="2033"/>
      <c r="L10" s="2034"/>
      <c r="M10" s="2008" t="s">
        <v>233</v>
      </c>
      <c r="N10" s="2008"/>
      <c r="O10" s="368"/>
      <c r="P10" s="381"/>
      <c r="Q10" s="2094"/>
      <c r="R10" s="2094"/>
      <c r="S10" s="2094"/>
      <c r="T10" s="2094"/>
      <c r="U10" s="2094"/>
      <c r="V10" s="2094"/>
      <c r="W10" s="2094"/>
      <c r="Y10" s="376" t="s">
        <v>246</v>
      </c>
      <c r="Z10" s="377">
        <f>SUM(Z5:Z9)</f>
        <v>720</v>
      </c>
      <c r="AA10" s="377">
        <f>SUM(AA5:AA9)</f>
        <v>0</v>
      </c>
    </row>
    <row r="11" spans="1:28" s="361" customFormat="1" ht="16.5" customHeight="1" thickBot="1" x14ac:dyDescent="0.25">
      <c r="A11" s="2086"/>
      <c r="B11" s="2087"/>
      <c r="C11" s="2087"/>
      <c r="D11" s="2090"/>
      <c r="E11" s="2091"/>
      <c r="F11" s="2027" t="s">
        <v>21</v>
      </c>
      <c r="G11" s="2028"/>
      <c r="H11" s="369"/>
      <c r="I11" s="2029"/>
      <c r="J11" s="2029"/>
      <c r="K11" s="2029"/>
      <c r="L11" s="2030"/>
      <c r="M11" s="378"/>
      <c r="N11" s="379"/>
      <c r="O11" s="380"/>
      <c r="P11" s="381"/>
      <c r="Q11" s="2023"/>
      <c r="R11" s="2023"/>
      <c r="S11" s="2023"/>
      <c r="T11" s="2023"/>
      <c r="U11" s="2023"/>
      <c r="V11" s="2023"/>
      <c r="W11" s="2023"/>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1974" t="s">
        <v>347</v>
      </c>
      <c r="J13" s="1975"/>
      <c r="K13" s="1976"/>
      <c r="L13" s="398"/>
      <c r="M13" s="2002" t="s">
        <v>229</v>
      </c>
      <c r="N13" s="2003"/>
      <c r="O13" s="2004"/>
      <c r="P13" s="399"/>
      <c r="Q13" s="2005" t="s">
        <v>295</v>
      </c>
      <c r="R13" s="2006"/>
      <c r="S13" s="2007"/>
      <c r="T13" s="400"/>
      <c r="U13" s="401"/>
      <c r="V13" s="401"/>
      <c r="W13" s="402"/>
      <c r="X13" s="396"/>
      <c r="Y13" s="396"/>
      <c r="Z13" s="396"/>
      <c r="AA13" s="396"/>
      <c r="AB13" s="396"/>
    </row>
    <row r="14" spans="1:28" ht="44.25" customHeight="1" thickBot="1" x14ac:dyDescent="0.25">
      <c r="A14" s="403">
        <v>0.02</v>
      </c>
      <c r="B14" s="717" t="s">
        <v>58</v>
      </c>
      <c r="C14" s="1991" t="s">
        <v>226</v>
      </c>
      <c r="D14" s="1991"/>
      <c r="E14" s="1991"/>
      <c r="F14" s="1992"/>
      <c r="G14" s="404" t="s">
        <v>249</v>
      </c>
      <c r="H14" s="405" t="s">
        <v>0</v>
      </c>
      <c r="I14" s="1996" t="s">
        <v>315</v>
      </c>
      <c r="J14" s="1988" t="s">
        <v>6</v>
      </c>
      <c r="K14" s="406" t="s">
        <v>299</v>
      </c>
      <c r="L14" s="407"/>
      <c r="M14" s="1998" t="s">
        <v>260</v>
      </c>
      <c r="N14" s="1999"/>
      <c r="O14" s="408" t="s">
        <v>248</v>
      </c>
      <c r="P14" s="409"/>
      <c r="Q14" s="410" t="s">
        <v>296</v>
      </c>
      <c r="R14" s="1988" t="s">
        <v>6</v>
      </c>
      <c r="S14" s="406" t="s">
        <v>299</v>
      </c>
      <c r="T14" s="411"/>
      <c r="U14" s="412" t="s">
        <v>256</v>
      </c>
      <c r="V14" s="1749" t="s">
        <v>61</v>
      </c>
      <c r="W14" s="1751" t="s">
        <v>384</v>
      </c>
    </row>
    <row r="15" spans="1:28" ht="30.75" customHeight="1" thickBot="1" x14ac:dyDescent="0.25">
      <c r="A15" s="414"/>
      <c r="B15" s="718"/>
      <c r="C15" s="1994"/>
      <c r="D15" s="1994"/>
      <c r="E15" s="1994"/>
      <c r="F15" s="1995"/>
      <c r="G15" s="415"/>
      <c r="H15" s="415"/>
      <c r="I15" s="1997"/>
      <c r="J15" s="1989"/>
      <c r="K15" s="416" t="s">
        <v>42</v>
      </c>
      <c r="L15" s="417"/>
      <c r="M15" s="2000"/>
      <c r="N15" s="2001"/>
      <c r="O15" s="418" t="s">
        <v>43</v>
      </c>
      <c r="P15" s="409"/>
      <c r="Q15" s="419" t="e">
        <f>#REF!/#REF!</f>
        <v>#REF!</v>
      </c>
      <c r="R15" s="1989"/>
      <c r="S15" s="416" t="s">
        <v>44</v>
      </c>
      <c r="T15" s="411"/>
      <c r="U15" s="420" t="s">
        <v>300</v>
      </c>
      <c r="V15" s="1750"/>
      <c r="W15" s="1752"/>
    </row>
    <row r="16" spans="1:28" s="437" customFormat="1" ht="15.75" hidden="1" customHeight="1" thickTop="1" x14ac:dyDescent="0.2">
      <c r="A16" s="421" t="s">
        <v>7</v>
      </c>
      <c r="B16" s="422"/>
      <c r="C16" s="719"/>
      <c r="D16" s="720"/>
      <c r="E16" s="720"/>
      <c r="F16" s="721"/>
      <c r="G16" s="423"/>
      <c r="H16" s="424"/>
      <c r="I16" s="425"/>
      <c r="J16" s="426"/>
      <c r="K16" s="427"/>
      <c r="L16" s="428"/>
      <c r="M16" s="1986"/>
      <c r="N16" s="1987"/>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1981"/>
      <c r="N17" s="1982"/>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1978" t="s">
        <v>342</v>
      </c>
      <c r="C18" s="1983" t="s">
        <v>472</v>
      </c>
      <c r="D18" s="1983"/>
      <c r="E18" s="1983"/>
      <c r="F18" s="1983"/>
      <c r="G18" s="700" t="s">
        <v>32</v>
      </c>
      <c r="H18" s="440" t="s">
        <v>25</v>
      </c>
      <c r="I18" s="441">
        <f>$D$10*2/3</f>
        <v>333.33333333333331</v>
      </c>
      <c r="J18" s="426">
        <f>IF(A18="Y",I18* 2%,0)</f>
        <v>0</v>
      </c>
      <c r="K18" s="442">
        <f>I18-J18</f>
        <v>333.33333333333331</v>
      </c>
      <c r="L18" s="428"/>
      <c r="M18" s="1981"/>
      <c r="N18" s="1982"/>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1978"/>
      <c r="C19" s="1983" t="s">
        <v>473</v>
      </c>
      <c r="D19" s="1983"/>
      <c r="E19" s="1983"/>
      <c r="F19" s="1983"/>
      <c r="G19" s="700" t="s">
        <v>31</v>
      </c>
      <c r="H19" s="440" t="s">
        <v>26</v>
      </c>
      <c r="I19" s="441">
        <f>$D$10*1/6</f>
        <v>83.333333333333329</v>
      </c>
      <c r="J19" s="426">
        <f>IF(A19="Y",I19* 2%,0)</f>
        <v>0</v>
      </c>
      <c r="K19" s="442">
        <f>I19-J19</f>
        <v>83.333333333333329</v>
      </c>
      <c r="L19" s="428"/>
      <c r="M19" s="1981"/>
      <c r="N19" s="1982"/>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1978"/>
      <c r="C20" s="1983" t="s">
        <v>474</v>
      </c>
      <c r="D20" s="1983"/>
      <c r="E20" s="1983"/>
      <c r="F20" s="1983"/>
      <c r="G20" s="700" t="s">
        <v>31</v>
      </c>
      <c r="H20" s="440"/>
      <c r="I20" s="441">
        <f>$D$10*1/6</f>
        <v>83.333333333333329</v>
      </c>
      <c r="J20" s="426">
        <f t="shared" ref="J20:J27" si="0">IF(A20="Y",I20* 2%,0)</f>
        <v>0</v>
      </c>
      <c r="K20" s="442">
        <f t="shared" ref="K20:K25" si="1">I20-J20</f>
        <v>83.333333333333329</v>
      </c>
      <c r="L20" s="428"/>
      <c r="M20" s="1981"/>
      <c r="N20" s="1982"/>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1978"/>
      <c r="C21" s="1463" t="s">
        <v>419</v>
      </c>
      <c r="D21" s="1463"/>
      <c r="E21" s="1463"/>
      <c r="F21" s="1463"/>
      <c r="G21" s="700" t="s">
        <v>31</v>
      </c>
      <c r="H21" s="440"/>
      <c r="I21" s="441">
        <v>40</v>
      </c>
      <c r="J21" s="426">
        <f t="shared" si="0"/>
        <v>0</v>
      </c>
      <c r="K21" s="442">
        <f t="shared" si="1"/>
        <v>40</v>
      </c>
      <c r="L21" s="428"/>
      <c r="M21" s="1981"/>
      <c r="N21" s="1982"/>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1978"/>
      <c r="C22" s="2081" t="s">
        <v>259</v>
      </c>
      <c r="D22" s="2081"/>
      <c r="E22" s="2081"/>
      <c r="F22" s="2081"/>
      <c r="G22" s="700" t="s">
        <v>31</v>
      </c>
      <c r="H22" s="440"/>
      <c r="I22" s="441">
        <v>30</v>
      </c>
      <c r="J22" s="426">
        <f t="shared" si="0"/>
        <v>0</v>
      </c>
      <c r="K22" s="442">
        <f t="shared" si="1"/>
        <v>30</v>
      </c>
      <c r="L22" s="428"/>
      <c r="M22" s="1981"/>
      <c r="N22" s="1982"/>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1978"/>
      <c r="C23" s="2081" t="s">
        <v>560</v>
      </c>
      <c r="D23" s="2081"/>
      <c r="E23" s="2081"/>
      <c r="F23" s="2081"/>
      <c r="G23" s="700" t="s">
        <v>31</v>
      </c>
      <c r="H23" s="440"/>
      <c r="I23" s="441">
        <v>150</v>
      </c>
      <c r="J23" s="426">
        <f t="shared" si="0"/>
        <v>3</v>
      </c>
      <c r="K23" s="442">
        <f t="shared" si="1"/>
        <v>147</v>
      </c>
      <c r="L23" s="428"/>
      <c r="M23" s="1981"/>
      <c r="N23" s="1982"/>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1978"/>
      <c r="C24" s="2081" t="s">
        <v>454</v>
      </c>
      <c r="D24" s="2081"/>
      <c r="E24" s="2081"/>
      <c r="F24" s="2081"/>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1978"/>
      <c r="C25" s="2081" t="s">
        <v>476</v>
      </c>
      <c r="D25" s="2081"/>
      <c r="E25" s="2081"/>
      <c r="F25" s="2081"/>
      <c r="G25" s="700" t="s">
        <v>455</v>
      </c>
      <c r="H25" s="440"/>
      <c r="I25" s="441"/>
      <c r="J25" s="426">
        <f t="shared" si="0"/>
        <v>0</v>
      </c>
      <c r="K25" s="442">
        <f t="shared" si="1"/>
        <v>0</v>
      </c>
      <c r="L25" s="428"/>
      <c r="M25" s="1981"/>
      <c r="N25" s="1982"/>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1978"/>
      <c r="C26" s="1449" t="s">
        <v>520</v>
      </c>
      <c r="D26" s="1459"/>
      <c r="E26" s="1459"/>
      <c r="F26" s="1460"/>
      <c r="G26" s="700" t="s">
        <v>230</v>
      </c>
      <c r="H26" s="440"/>
      <c r="I26" s="441"/>
      <c r="J26" s="426">
        <f t="shared" ref="J26" si="3">IF(A26="Y",I26* 2%,0)</f>
        <v>0</v>
      </c>
      <c r="K26" s="442">
        <f t="shared" ref="K26" si="4">I26-J26</f>
        <v>0</v>
      </c>
      <c r="L26" s="428"/>
      <c r="M26" s="1981"/>
      <c r="N26" s="1982"/>
      <c r="O26" s="448"/>
      <c r="P26" s="430"/>
      <c r="Q26" s="431"/>
      <c r="R26" s="426"/>
      <c r="S26" s="445"/>
      <c r="T26" s="446"/>
      <c r="U26" s="434">
        <f t="shared" ref="U26" si="5">IF($U$15="BASE-UP   (B-A)", O26-K26,O26-S26)</f>
        <v>0</v>
      </c>
      <c r="V26" s="655"/>
      <c r="W26" s="444"/>
      <c r="X26" s="436"/>
      <c r="Y26" s="436"/>
      <c r="Z26" s="436"/>
      <c r="AA26" s="436"/>
      <c r="AB26" s="436"/>
    </row>
    <row r="27" spans="1:28" s="437" customFormat="1" ht="31.5" customHeight="1" x14ac:dyDescent="0.2">
      <c r="A27" s="726" t="s">
        <v>7</v>
      </c>
      <c r="B27" s="1979"/>
      <c r="C27" s="1665" t="s">
        <v>492</v>
      </c>
      <c r="D27" s="1700"/>
      <c r="E27" s="1700"/>
      <c r="F27" s="1701"/>
      <c r="G27" s="700" t="s">
        <v>31</v>
      </c>
      <c r="H27" s="440"/>
      <c r="I27" s="441"/>
      <c r="J27" s="426">
        <f t="shared" si="0"/>
        <v>0</v>
      </c>
      <c r="K27" s="442">
        <f>J28</f>
        <v>3</v>
      </c>
      <c r="L27" s="428"/>
      <c r="M27" s="1981"/>
      <c r="N27" s="1982"/>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1977" t="s">
        <v>61</v>
      </c>
      <c r="B30" s="1977"/>
      <c r="C30" s="1977"/>
      <c r="D30" s="476"/>
      <c r="E30" s="477"/>
      <c r="F30" s="477"/>
      <c r="K30" s="478"/>
      <c r="L30" s="479"/>
      <c r="P30" s="480"/>
      <c r="Q30" s="480"/>
      <c r="R30" s="480"/>
      <c r="S30" s="480"/>
      <c r="T30" s="480"/>
      <c r="U30" s="481"/>
      <c r="V30" s="481"/>
      <c r="W30" s="482"/>
    </row>
    <row r="31" spans="1:28" s="483" customFormat="1" ht="18" customHeight="1" x14ac:dyDescent="0.2">
      <c r="A31" s="769">
        <v>1</v>
      </c>
      <c r="B31" s="2078"/>
      <c r="C31" s="2079"/>
      <c r="D31" s="2079"/>
      <c r="E31" s="2079"/>
      <c r="F31" s="2079"/>
      <c r="G31" s="2079"/>
      <c r="H31" s="2079"/>
      <c r="I31" s="2079"/>
      <c r="J31" s="2079"/>
      <c r="K31" s="2079"/>
      <c r="L31" s="2079"/>
      <c r="M31" s="2079"/>
      <c r="N31" s="2079"/>
      <c r="O31" s="2079"/>
      <c r="P31" s="2079"/>
      <c r="Q31" s="2079"/>
      <c r="R31" s="2079"/>
      <c r="S31" s="2079"/>
      <c r="T31" s="2079"/>
      <c r="U31" s="2079"/>
      <c r="V31" s="2079"/>
      <c r="W31" s="2080"/>
    </row>
    <row r="32" spans="1:28" s="483" customFormat="1" ht="18" customHeight="1" x14ac:dyDescent="0.2">
      <c r="A32" s="769">
        <v>2</v>
      </c>
      <c r="B32" s="2078"/>
      <c r="C32" s="2079"/>
      <c r="D32" s="2079"/>
      <c r="E32" s="2079"/>
      <c r="F32" s="2079"/>
      <c r="G32" s="2079"/>
      <c r="H32" s="2079"/>
      <c r="I32" s="2079"/>
      <c r="J32" s="2079"/>
      <c r="K32" s="2079"/>
      <c r="L32" s="2079"/>
      <c r="M32" s="2079"/>
      <c r="N32" s="2079"/>
      <c r="O32" s="2079"/>
      <c r="P32" s="2079"/>
      <c r="Q32" s="2079"/>
      <c r="R32" s="2079"/>
      <c r="S32" s="2079"/>
      <c r="T32" s="2079"/>
      <c r="U32" s="2079"/>
      <c r="V32" s="2079"/>
      <c r="W32" s="2080"/>
    </row>
    <row r="33" spans="1:23" s="483" customFormat="1" ht="18" customHeight="1" x14ac:dyDescent="0.2">
      <c r="A33" s="769">
        <v>3</v>
      </c>
      <c r="B33" s="2078"/>
      <c r="C33" s="2079"/>
      <c r="D33" s="2079"/>
      <c r="E33" s="2079"/>
      <c r="F33" s="2079"/>
      <c r="G33" s="2079"/>
      <c r="H33" s="2079"/>
      <c r="I33" s="2079"/>
      <c r="J33" s="2079"/>
      <c r="K33" s="2079"/>
      <c r="L33" s="2079"/>
      <c r="M33" s="2079"/>
      <c r="N33" s="2079"/>
      <c r="O33" s="2079"/>
      <c r="P33" s="2079"/>
      <c r="Q33" s="2079"/>
      <c r="R33" s="2079"/>
      <c r="S33" s="2079"/>
      <c r="T33" s="2079"/>
      <c r="U33" s="2079"/>
      <c r="V33" s="2079"/>
      <c r="W33" s="2080"/>
    </row>
    <row r="34" spans="1:23" s="351" customFormat="1" ht="19.5" customHeight="1" x14ac:dyDescent="0.2">
      <c r="A34" s="769">
        <v>4</v>
      </c>
      <c r="B34" s="2078"/>
      <c r="C34" s="2079"/>
      <c r="D34" s="2079"/>
      <c r="E34" s="2079"/>
      <c r="F34" s="2079"/>
      <c r="G34" s="2079"/>
      <c r="H34" s="2079"/>
      <c r="I34" s="2079"/>
      <c r="J34" s="2079"/>
      <c r="K34" s="2079"/>
      <c r="L34" s="2079"/>
      <c r="M34" s="2079"/>
      <c r="N34" s="2079"/>
      <c r="O34" s="2079"/>
      <c r="P34" s="2079"/>
      <c r="Q34" s="2079"/>
      <c r="R34" s="2079"/>
      <c r="S34" s="2079"/>
      <c r="T34" s="2079"/>
      <c r="U34" s="2079"/>
      <c r="V34" s="2079"/>
      <c r="W34" s="2080"/>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M16:N16"/>
    <mergeCell ref="M17:N17"/>
    <mergeCell ref="M18:N18"/>
    <mergeCell ref="M19:N19"/>
    <mergeCell ref="M21:N21"/>
    <mergeCell ref="M20:N20"/>
    <mergeCell ref="B33:W33"/>
    <mergeCell ref="M25:N25"/>
    <mergeCell ref="M27:N27"/>
    <mergeCell ref="A30:C30"/>
    <mergeCell ref="B31:W31"/>
    <mergeCell ref="B32:W32"/>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69" t="s">
        <v>328</v>
      </c>
      <c r="B1" s="1670"/>
      <c r="C1" s="1670"/>
      <c r="D1" s="1670"/>
      <c r="E1" s="1670"/>
      <c r="F1" s="1670"/>
      <c r="G1" s="1670"/>
      <c r="H1" s="1670"/>
      <c r="I1" s="1670"/>
      <c r="J1" s="1670"/>
      <c r="K1" s="1670"/>
      <c r="L1" s="1670"/>
      <c r="M1" s="1667"/>
      <c r="N1" s="1667"/>
      <c r="O1" s="1667"/>
      <c r="P1" s="1667"/>
      <c r="Q1" s="1667"/>
      <c r="R1" s="1667"/>
      <c r="S1" s="1667"/>
      <c r="T1" s="1667"/>
      <c r="U1" s="1667"/>
      <c r="V1" s="1667"/>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845"/>
      <c r="O3" s="1969"/>
      <c r="P3" s="785"/>
      <c r="Q3" s="237"/>
      <c r="R3" s="1792" t="s">
        <v>261</v>
      </c>
      <c r="S3" s="1793"/>
      <c r="T3" s="1793"/>
      <c r="U3" s="1793"/>
      <c r="V3" s="1793"/>
      <c r="W3" s="1793"/>
      <c r="X3" s="1794"/>
      <c r="Z3" s="174" t="s">
        <v>250</v>
      </c>
      <c r="AA3" s="132"/>
    </row>
    <row r="4" spans="1:29" s="57" customFormat="1" ht="15.75" x14ac:dyDescent="0.2">
      <c r="A4" s="1379" t="s">
        <v>231</v>
      </c>
      <c r="B4" s="1380"/>
      <c r="C4" s="1380"/>
      <c r="D4" s="1335">
        <f>M1</f>
        <v>0</v>
      </c>
      <c r="E4" s="1336"/>
      <c r="F4" s="1381" t="s">
        <v>28</v>
      </c>
      <c r="G4" s="1382"/>
      <c r="H4" s="208"/>
      <c r="I4" s="1795"/>
      <c r="J4" s="1795"/>
      <c r="K4" s="1795"/>
      <c r="L4" s="1795"/>
      <c r="M4" s="1795"/>
      <c r="N4" s="1383" t="s">
        <v>257</v>
      </c>
      <c r="O4" s="1383"/>
      <c r="P4" s="209"/>
      <c r="Q4" s="238"/>
      <c r="R4" s="1796" t="s">
        <v>236</v>
      </c>
      <c r="S4" s="1797"/>
      <c r="T4" s="1797"/>
      <c r="U4" s="1797"/>
      <c r="V4" s="1797"/>
      <c r="W4" s="1797"/>
      <c r="X4" s="1798"/>
      <c r="Z4" s="271" t="s">
        <v>308</v>
      </c>
      <c r="AA4" s="269" t="s">
        <v>309</v>
      </c>
      <c r="AB4" s="269" t="s">
        <v>310</v>
      </c>
    </row>
    <row r="5" spans="1:29" s="57" customFormat="1" ht="15.75" x14ac:dyDescent="0.2">
      <c r="A5" s="1384" t="s">
        <v>4</v>
      </c>
      <c r="B5" s="1385"/>
      <c r="C5" s="1385"/>
      <c r="D5" s="1289"/>
      <c r="E5" s="1283"/>
      <c r="F5" s="1386" t="s">
        <v>244</v>
      </c>
      <c r="G5" s="1387"/>
      <c r="H5" s="185"/>
      <c r="I5" s="1393"/>
      <c r="J5" s="1393"/>
      <c r="K5" s="1393"/>
      <c r="L5" s="1393"/>
      <c r="M5" s="1393"/>
      <c r="N5" s="1388" t="s">
        <v>22</v>
      </c>
      <c r="O5" s="1388"/>
      <c r="P5" s="58"/>
      <c r="Q5" s="238"/>
      <c r="R5" s="1789" t="s">
        <v>391</v>
      </c>
      <c r="S5" s="1790"/>
      <c r="T5" s="1790"/>
      <c r="U5" s="1790"/>
      <c r="V5" s="1790"/>
      <c r="W5" s="1790"/>
      <c r="X5" s="1791"/>
      <c r="Z5" s="172" t="s">
        <v>31</v>
      </c>
      <c r="AA5" s="176">
        <f>SUMIF($G$16:$G$39,"STATE",$L$16:$L$39)</f>
        <v>587.80000000000007</v>
      </c>
      <c r="AB5" s="176">
        <f>SUMIF($G$16:$G$39,"STATE",$T$16:$T$39)</f>
        <v>0</v>
      </c>
    </row>
    <row r="6" spans="1:29" s="57" customFormat="1" ht="16.5" thickBot="1" x14ac:dyDescent="0.25">
      <c r="A6" s="1384" t="s">
        <v>12</v>
      </c>
      <c r="B6" s="1385"/>
      <c r="C6" s="1385"/>
      <c r="D6" s="1282"/>
      <c r="E6" s="1283"/>
      <c r="F6" s="1386" t="s">
        <v>20</v>
      </c>
      <c r="G6" s="1387"/>
      <c r="H6" s="185"/>
      <c r="I6" s="1393" t="s">
        <v>11</v>
      </c>
      <c r="J6" s="1393"/>
      <c r="K6" s="1393"/>
      <c r="L6" s="1393"/>
      <c r="M6" s="1393"/>
      <c r="N6" s="1389" t="s">
        <v>233</v>
      </c>
      <c r="O6" s="1389"/>
      <c r="P6" s="212">
        <f>P4+P5*10</f>
        <v>0</v>
      </c>
      <c r="Q6" s="238"/>
      <c r="R6" s="1786" t="s">
        <v>573</v>
      </c>
      <c r="S6" s="1787"/>
      <c r="T6" s="1787"/>
      <c r="U6" s="1787"/>
      <c r="V6" s="1787"/>
      <c r="W6" s="1787"/>
      <c r="X6" s="1788"/>
      <c r="Z6" s="172" t="s">
        <v>32</v>
      </c>
      <c r="AA6" s="176">
        <f>SUMIF($G$16:$G$39,"COUNTY",$L$16:$L$39)</f>
        <v>333.20000000000005</v>
      </c>
      <c r="AB6" s="176">
        <f>SUMIF($G$16:$G$39,"COUNTY",$T$16:$T$39)</f>
        <v>0</v>
      </c>
    </row>
    <row r="7" spans="1:29" s="57" customFormat="1" ht="16.5" thickBot="1" x14ac:dyDescent="0.25">
      <c r="A7" s="1384" t="s">
        <v>5</v>
      </c>
      <c r="B7" s="1385"/>
      <c r="C7" s="1385"/>
      <c r="D7" s="1282"/>
      <c r="E7" s="1283"/>
      <c r="F7" s="1693" t="s">
        <v>21</v>
      </c>
      <c r="G7" s="1664"/>
      <c r="H7" s="241"/>
      <c r="I7" s="1776"/>
      <c r="J7" s="1776"/>
      <c r="K7" s="1776"/>
      <c r="L7" s="1776"/>
      <c r="M7" s="1777"/>
      <c r="N7" s="235"/>
      <c r="O7" s="242"/>
      <c r="P7" s="236"/>
      <c r="Q7" s="238"/>
      <c r="R7" s="1778" t="s">
        <v>332</v>
      </c>
      <c r="S7" s="1779"/>
      <c r="T7" s="1779"/>
      <c r="U7" s="1779"/>
      <c r="V7" s="1779"/>
      <c r="W7" s="1779"/>
      <c r="X7" s="1780"/>
      <c r="Z7" s="172" t="s">
        <v>52</v>
      </c>
      <c r="AA7" s="176">
        <f>SUMIF($G$16:$G$39,"CITY",$L$16:$L$39)</f>
        <v>0</v>
      </c>
      <c r="AB7" s="176">
        <f>SUMIF($G$16:$G$39,"CITY",$T$16:$T$39)</f>
        <v>0</v>
      </c>
    </row>
    <row r="8" spans="1:29" s="57" customFormat="1" ht="15.75" customHeight="1" x14ac:dyDescent="0.2">
      <c r="A8" s="1394" t="s">
        <v>444</v>
      </c>
      <c r="B8" s="1395"/>
      <c r="C8" s="1395"/>
      <c r="D8" s="1781" t="s">
        <v>436</v>
      </c>
      <c r="E8" s="1809"/>
      <c r="F8" s="1379" t="s">
        <v>253</v>
      </c>
      <c r="G8" s="1380"/>
      <c r="H8" s="187"/>
      <c r="I8" s="1785"/>
      <c r="J8" s="1785"/>
      <c r="K8" s="1785"/>
      <c r="L8" s="1785"/>
      <c r="M8" s="1785"/>
      <c r="N8" s="1333" t="s">
        <v>257</v>
      </c>
      <c r="O8" s="1333"/>
      <c r="P8" s="55">
        <v>0</v>
      </c>
      <c r="Q8" s="239"/>
      <c r="R8" s="1772" t="s">
        <v>303</v>
      </c>
      <c r="S8" s="1726"/>
      <c r="T8" s="1726"/>
      <c r="U8" s="1726"/>
      <c r="V8" s="1726"/>
      <c r="W8" s="1726"/>
      <c r="X8" s="1773"/>
      <c r="Z8" s="172" t="s">
        <v>230</v>
      </c>
      <c r="AA8" s="176">
        <f>SUMIF($G$16:$G$39,"COURT",$L$16:$L$39)</f>
        <v>0</v>
      </c>
      <c r="AB8" s="176">
        <f>SUMIF($G$16:$G$39,"COURT",$T$16:$T$39)</f>
        <v>0</v>
      </c>
    </row>
    <row r="9" spans="1:29" s="57" customFormat="1" ht="18" customHeight="1" thickBot="1" x14ac:dyDescent="0.25">
      <c r="A9" s="1402" t="s">
        <v>85</v>
      </c>
      <c r="B9" s="1403"/>
      <c r="C9" s="1403"/>
      <c r="D9" s="1404" t="str">
        <f>IF(D8="Yes", "No", "Yes")</f>
        <v>No</v>
      </c>
      <c r="E9" s="1405"/>
      <c r="F9" s="1386" t="s">
        <v>244</v>
      </c>
      <c r="G9" s="1387"/>
      <c r="H9" s="185"/>
      <c r="I9" s="1393"/>
      <c r="J9" s="1393"/>
      <c r="K9" s="1393"/>
      <c r="L9" s="1393"/>
      <c r="M9" s="1393"/>
      <c r="N9" s="1388" t="s">
        <v>22</v>
      </c>
      <c r="O9" s="1388"/>
      <c r="P9" s="58"/>
      <c r="Q9" s="239"/>
      <c r="R9" s="1774"/>
      <c r="S9" s="1729"/>
      <c r="T9" s="1729"/>
      <c r="U9" s="1729"/>
      <c r="V9" s="1729"/>
      <c r="W9" s="1729"/>
      <c r="X9" s="1775"/>
      <c r="Z9" s="153" t="s">
        <v>456</v>
      </c>
      <c r="AA9" s="176">
        <f>SUMIF($G$16:$G$39,"ST or CNTY",$L$16:$L$39)</f>
        <v>49</v>
      </c>
      <c r="AB9" s="176">
        <f>SUMIF($G$16:$G$39,"ST or CNTY",$T$16:$T$39)</f>
        <v>0</v>
      </c>
    </row>
    <row r="10" spans="1:29" s="57" customFormat="1" ht="16.5" customHeight="1" thickBot="1" x14ac:dyDescent="0.25">
      <c r="A10" s="1436" t="s">
        <v>276</v>
      </c>
      <c r="B10" s="1437"/>
      <c r="C10" s="1437"/>
      <c r="D10" s="1651">
        <f>P6+P10+I16+I17</f>
        <v>200</v>
      </c>
      <c r="E10" s="1652"/>
      <c r="F10" s="1386" t="s">
        <v>20</v>
      </c>
      <c r="G10" s="1387"/>
      <c r="H10" s="185"/>
      <c r="I10" s="1393"/>
      <c r="J10" s="1393"/>
      <c r="K10" s="1393"/>
      <c r="L10" s="1393"/>
      <c r="M10" s="1393"/>
      <c r="N10" s="1389" t="s">
        <v>233</v>
      </c>
      <c r="O10" s="1389"/>
      <c r="P10" s="212">
        <f>P8+P9*10</f>
        <v>0</v>
      </c>
      <c r="Q10" s="240"/>
      <c r="R10" s="1769" t="s">
        <v>239</v>
      </c>
      <c r="S10" s="1770"/>
      <c r="T10" s="1770"/>
      <c r="U10" s="1770"/>
      <c r="V10" s="1770"/>
      <c r="W10" s="1770"/>
      <c r="X10" s="1771"/>
      <c r="Z10" s="683" t="s">
        <v>246</v>
      </c>
      <c r="AA10" s="148">
        <f>SUM(AA5:AA9)</f>
        <v>970.00000000000011</v>
      </c>
      <c r="AB10" s="148">
        <f>SUM(AB5:AB9)</f>
        <v>0</v>
      </c>
    </row>
    <row r="11" spans="1:29" s="57" customFormat="1" ht="16.5" customHeight="1" thickBot="1" x14ac:dyDescent="0.25">
      <c r="A11" s="1439" t="s">
        <v>277</v>
      </c>
      <c r="B11" s="1440"/>
      <c r="C11" s="1440"/>
      <c r="D11" s="1649">
        <f>ROUNDUP(D10/10,0)</f>
        <v>20</v>
      </c>
      <c r="E11" s="1650"/>
      <c r="F11" s="1398" t="s">
        <v>21</v>
      </c>
      <c r="G11" s="1399"/>
      <c r="H11" s="186"/>
      <c r="I11" s="1754"/>
      <c r="J11" s="1754"/>
      <c r="K11" s="1754"/>
      <c r="L11" s="1754"/>
      <c r="M11" s="2077"/>
      <c r="N11" s="1400" t="s">
        <v>568</v>
      </c>
      <c r="O11" s="1401"/>
      <c r="P11" s="780">
        <f>'1-DUI (Reduce Base)'!P11</f>
        <v>5</v>
      </c>
      <c r="Q11" s="240"/>
      <c r="R11" s="1755" t="s">
        <v>430</v>
      </c>
      <c r="S11" s="1756"/>
      <c r="T11" s="1756"/>
      <c r="U11" s="1756"/>
      <c r="V11" s="1756"/>
      <c r="W11" s="1756"/>
      <c r="X11" s="1757"/>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758" t="s">
        <v>297</v>
      </c>
      <c r="J13" s="1759"/>
      <c r="K13" s="1759"/>
      <c r="L13" s="1760"/>
      <c r="M13" s="110"/>
      <c r="N13" s="1761" t="s">
        <v>229</v>
      </c>
      <c r="O13" s="1762"/>
      <c r="P13" s="1763"/>
      <c r="Q13" s="111"/>
      <c r="R13" s="1764" t="s">
        <v>295</v>
      </c>
      <c r="S13" s="1765"/>
      <c r="T13" s="1766"/>
      <c r="U13" s="226"/>
      <c r="V13" s="158"/>
      <c r="W13" s="158"/>
      <c r="X13" s="159"/>
      <c r="Y13" s="108"/>
      <c r="Z13" s="108"/>
      <c r="AA13" s="108"/>
      <c r="AB13" s="108"/>
      <c r="AC13" s="108"/>
    </row>
    <row r="14" spans="1:29" ht="44.25" customHeight="1" thickBot="1" x14ac:dyDescent="0.25">
      <c r="A14" s="686">
        <v>0.02</v>
      </c>
      <c r="B14" s="686" t="s">
        <v>58</v>
      </c>
      <c r="C14" s="1364" t="s">
        <v>226</v>
      </c>
      <c r="D14" s="1365"/>
      <c r="E14" s="1365"/>
      <c r="F14" s="1366"/>
      <c r="G14" s="688" t="s">
        <v>249</v>
      </c>
      <c r="H14" s="114" t="s">
        <v>0</v>
      </c>
      <c r="I14" s="684" t="s">
        <v>298</v>
      </c>
      <c r="J14" s="692" t="s">
        <v>252</v>
      </c>
      <c r="K14" s="1747" t="s">
        <v>6</v>
      </c>
      <c r="L14" s="691" t="s">
        <v>299</v>
      </c>
      <c r="M14" s="67"/>
      <c r="N14" s="1716" t="s">
        <v>260</v>
      </c>
      <c r="O14" s="1717"/>
      <c r="P14" s="692" t="s">
        <v>248</v>
      </c>
      <c r="Q14" s="121"/>
      <c r="R14" s="690" t="s">
        <v>428</v>
      </c>
      <c r="S14" s="1747" t="s">
        <v>6</v>
      </c>
      <c r="T14" s="691" t="s">
        <v>299</v>
      </c>
      <c r="U14" s="228"/>
      <c r="V14" s="682" t="s">
        <v>256</v>
      </c>
      <c r="W14" s="1749" t="s">
        <v>61</v>
      </c>
      <c r="X14" s="1751" t="s">
        <v>384</v>
      </c>
    </row>
    <row r="15" spans="1:29" ht="30.75" customHeight="1" thickBot="1" x14ac:dyDescent="0.25">
      <c r="A15" s="687"/>
      <c r="B15" s="687"/>
      <c r="C15" s="1367"/>
      <c r="D15" s="1368"/>
      <c r="E15" s="1368"/>
      <c r="F15" s="1369"/>
      <c r="G15" s="689"/>
      <c r="H15" s="689"/>
      <c r="I15" s="685"/>
      <c r="J15" s="161">
        <f>J33/I33</f>
        <v>2.5466666666666669</v>
      </c>
      <c r="K15" s="1748"/>
      <c r="L15" s="244" t="s">
        <v>42</v>
      </c>
      <c r="M15" s="68"/>
      <c r="N15" s="1714"/>
      <c r="O15" s="1715"/>
      <c r="P15" s="245" t="s">
        <v>43</v>
      </c>
      <c r="Q15" s="121"/>
      <c r="R15" s="246">
        <f>R33/I33</f>
        <v>0</v>
      </c>
      <c r="S15" s="1748"/>
      <c r="T15" s="244" t="s">
        <v>44</v>
      </c>
      <c r="U15" s="228"/>
      <c r="V15" s="298" t="s">
        <v>300</v>
      </c>
      <c r="W15" s="1750"/>
      <c r="X15" s="1752"/>
    </row>
    <row r="16" spans="1:29" s="74" customFormat="1" ht="15.75" customHeight="1" thickTop="1" x14ac:dyDescent="0.2">
      <c r="A16" s="69" t="s">
        <v>8</v>
      </c>
      <c r="B16" s="1915" t="s">
        <v>241</v>
      </c>
      <c r="C16" s="1745" t="s">
        <v>465</v>
      </c>
      <c r="D16" s="1692"/>
      <c r="E16" s="1692"/>
      <c r="F16" s="1692"/>
      <c r="G16" s="695" t="s">
        <v>456</v>
      </c>
      <c r="H16" s="71" t="s">
        <v>329</v>
      </c>
      <c r="I16" s="204">
        <v>50</v>
      </c>
      <c r="J16" s="160">
        <f>I16</f>
        <v>50</v>
      </c>
      <c r="K16" s="162">
        <f t="shared" ref="K16:K32" si="0">IF(A16="Y", I16*2%,0)</f>
        <v>1</v>
      </c>
      <c r="L16" s="198">
        <f>I16-K16</f>
        <v>49</v>
      </c>
      <c r="M16" s="164"/>
      <c r="N16" s="1731"/>
      <c r="O16" s="1732"/>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660"/>
      <c r="C17" s="1745" t="s">
        <v>420</v>
      </c>
      <c r="D17" s="1692"/>
      <c r="E17" s="1692"/>
      <c r="F17" s="1692"/>
      <c r="G17" s="694" t="s">
        <v>32</v>
      </c>
      <c r="H17" s="77" t="s">
        <v>71</v>
      </c>
      <c r="I17" s="204">
        <v>150</v>
      </c>
      <c r="J17" s="155">
        <f>I17</f>
        <v>150</v>
      </c>
      <c r="K17" s="162">
        <f t="shared" si="0"/>
        <v>3</v>
      </c>
      <c r="L17" s="167">
        <f t="shared" ref="L17:L38" si="2">I17-K17</f>
        <v>147</v>
      </c>
      <c r="M17" s="164"/>
      <c r="N17" s="1665"/>
      <c r="O17" s="1666"/>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660"/>
      <c r="C18" s="1659" t="s">
        <v>330</v>
      </c>
      <c r="D18" s="1659"/>
      <c r="E18" s="1659"/>
      <c r="F18" s="1659"/>
      <c r="G18" s="694" t="s">
        <v>31</v>
      </c>
      <c r="H18" s="77" t="s">
        <v>10</v>
      </c>
      <c r="I18" s="155">
        <f>($D$10-SUM($I$16:$I$17))*75%</f>
        <v>0</v>
      </c>
      <c r="J18" s="155" t="e">
        <f>((SUM(I16:I19)*J15)-SUM(J16:J17))*D8</f>
        <v>#VALUE!</v>
      </c>
      <c r="K18" s="162">
        <f t="shared" si="0"/>
        <v>0</v>
      </c>
      <c r="L18" s="167">
        <f t="shared" si="2"/>
        <v>0</v>
      </c>
      <c r="M18" s="164"/>
      <c r="N18" s="1665"/>
      <c r="O18" s="1666"/>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661"/>
      <c r="C19" s="1659" t="s">
        <v>331</v>
      </c>
      <c r="D19" s="1659"/>
      <c r="E19" s="1659"/>
      <c r="F19" s="1659"/>
      <c r="G19" s="701" t="str">
        <f>IF(D8="Yes","COUNTY","CITY")</f>
        <v>COUNTY</v>
      </c>
      <c r="H19" s="77" t="s">
        <v>24</v>
      </c>
      <c r="I19" s="155">
        <f>($D$10-SUM($I$16:$I$17))*25%</f>
        <v>0</v>
      </c>
      <c r="J19" s="155" t="e">
        <f>((SUM(I16:I19)*J15)-SUM(J16:J17))*D9</f>
        <v>#VALUE!</v>
      </c>
      <c r="K19" s="162">
        <f t="shared" si="0"/>
        <v>0</v>
      </c>
      <c r="L19" s="167">
        <f t="shared" si="2"/>
        <v>0</v>
      </c>
      <c r="M19" s="164"/>
      <c r="N19" s="1665"/>
      <c r="O19" s="1666"/>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659" t="s">
        <v>546</v>
      </c>
      <c r="D20" s="1659"/>
      <c r="E20" s="1659"/>
      <c r="F20" s="1659"/>
      <c r="G20" s="694" t="s">
        <v>31</v>
      </c>
      <c r="H20" s="77" t="s">
        <v>26</v>
      </c>
      <c r="I20" s="155">
        <f>$D$11*B20</f>
        <v>140</v>
      </c>
      <c r="J20" s="155">
        <f>$J$15*I20</f>
        <v>356.53333333333336</v>
      </c>
      <c r="K20" s="162">
        <f t="shared" si="0"/>
        <v>2.8000000000000003</v>
      </c>
      <c r="L20" s="167">
        <f t="shared" si="2"/>
        <v>137.19999999999999</v>
      </c>
      <c r="M20" s="164"/>
      <c r="N20" s="1665"/>
      <c r="O20" s="1666"/>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659" t="s">
        <v>547</v>
      </c>
      <c r="D21" s="1659"/>
      <c r="E21" s="1659"/>
      <c r="F21" s="1659"/>
      <c r="G21" s="694" t="s">
        <v>32</v>
      </c>
      <c r="H21" s="77" t="s">
        <v>27</v>
      </c>
      <c r="I21" s="155">
        <f t="shared" ref="I21:I31" si="6">$D$11*B21</f>
        <v>60</v>
      </c>
      <c r="J21" s="155">
        <f t="shared" ref="J21:J32" si="7">$J$15*I21</f>
        <v>152.80000000000001</v>
      </c>
      <c r="K21" s="162">
        <f t="shared" si="0"/>
        <v>1.2</v>
      </c>
      <c r="L21" s="167">
        <f t="shared" si="2"/>
        <v>58.8</v>
      </c>
      <c r="M21" s="164"/>
      <c r="N21" s="1665"/>
      <c r="O21" s="1666"/>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665" t="s">
        <v>216</v>
      </c>
      <c r="D22" s="1700"/>
      <c r="E22" s="1700"/>
      <c r="F22" s="1701"/>
      <c r="G22" s="694" t="s">
        <v>32</v>
      </c>
      <c r="H22" s="77" t="s">
        <v>55</v>
      </c>
      <c r="I22" s="155">
        <f t="shared" si="6"/>
        <v>20</v>
      </c>
      <c r="J22" s="155">
        <f t="shared" si="7"/>
        <v>50.933333333333337</v>
      </c>
      <c r="K22" s="162">
        <f t="shared" si="0"/>
        <v>0.4</v>
      </c>
      <c r="L22" s="167">
        <f t="shared" si="2"/>
        <v>19.600000000000001</v>
      </c>
      <c r="M22" s="164"/>
      <c r="N22" s="1665"/>
      <c r="O22" s="1666"/>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665" t="s">
        <v>466</v>
      </c>
      <c r="D23" s="1700"/>
      <c r="E23" s="1700"/>
      <c r="F23" s="1701"/>
      <c r="G23" s="694" t="s">
        <v>31</v>
      </c>
      <c r="H23" s="77" t="s">
        <v>72</v>
      </c>
      <c r="I23" s="155">
        <f t="shared" si="6"/>
        <v>80</v>
      </c>
      <c r="J23" s="155">
        <f t="shared" si="7"/>
        <v>203.73333333333335</v>
      </c>
      <c r="K23" s="162">
        <f t="shared" si="0"/>
        <v>1.6</v>
      </c>
      <c r="L23" s="167">
        <f t="shared" si="2"/>
        <v>78.400000000000006</v>
      </c>
      <c r="M23" s="164"/>
      <c r="N23" s="1665"/>
      <c r="O23" s="1666"/>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659" t="s">
        <v>217</v>
      </c>
      <c r="D24" s="1659"/>
      <c r="E24" s="1739" t="str">
        <f>IF(SUM(B24:B28)=P11,"GC 76000 PA ($" &amp;P11 &amp; " for every 10) breakdown per local board of supervisor resolution (BOS).","ERROR! GC 76000 PA total is not $" &amp;P11&amp; ". Check Court's board resolution.")</f>
        <v>ERROR! GC 76000 PA total is not $5. Check Court's board resolution.</v>
      </c>
      <c r="F24" s="1740"/>
      <c r="G24" s="694" t="s">
        <v>32</v>
      </c>
      <c r="H24" s="77" t="s">
        <v>64</v>
      </c>
      <c r="I24" s="155">
        <f t="shared" si="6"/>
        <v>0</v>
      </c>
      <c r="J24" s="155">
        <f t="shared" si="7"/>
        <v>0</v>
      </c>
      <c r="K24" s="162">
        <f t="shared" si="0"/>
        <v>0</v>
      </c>
      <c r="L24" s="167">
        <f t="shared" si="2"/>
        <v>0</v>
      </c>
      <c r="M24" s="164"/>
      <c r="N24" s="1665"/>
      <c r="O24" s="1666"/>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659" t="s">
        <v>218</v>
      </c>
      <c r="D25" s="1659"/>
      <c r="E25" s="1741"/>
      <c r="F25" s="1742"/>
      <c r="G25" s="694" t="s">
        <v>32</v>
      </c>
      <c r="H25" s="77" t="s">
        <v>35</v>
      </c>
      <c r="I25" s="155">
        <f t="shared" si="6"/>
        <v>20</v>
      </c>
      <c r="J25" s="155">
        <f t="shared" si="7"/>
        <v>50.933333333333337</v>
      </c>
      <c r="K25" s="162">
        <f t="shared" si="0"/>
        <v>0.4</v>
      </c>
      <c r="L25" s="167">
        <f t="shared" si="2"/>
        <v>19.600000000000001</v>
      </c>
      <c r="M25" s="164"/>
      <c r="N25" s="1665"/>
      <c r="O25" s="1666"/>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659" t="s">
        <v>219</v>
      </c>
      <c r="D26" s="1659"/>
      <c r="E26" s="1741"/>
      <c r="F26" s="1742"/>
      <c r="G26" s="694" t="s">
        <v>32</v>
      </c>
      <c r="H26" s="77" t="s">
        <v>65</v>
      </c>
      <c r="I26" s="155">
        <f t="shared" si="6"/>
        <v>20</v>
      </c>
      <c r="J26" s="155">
        <f t="shared" si="7"/>
        <v>50.933333333333337</v>
      </c>
      <c r="K26" s="162">
        <f t="shared" si="0"/>
        <v>0.4</v>
      </c>
      <c r="L26" s="167">
        <f t="shared" si="2"/>
        <v>19.600000000000001</v>
      </c>
      <c r="M26" s="164"/>
      <c r="N26" s="1665"/>
      <c r="O26" s="1666"/>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659" t="s">
        <v>401</v>
      </c>
      <c r="D27" s="1659"/>
      <c r="E27" s="1741"/>
      <c r="F27" s="1742"/>
      <c r="G27" s="694" t="s">
        <v>32</v>
      </c>
      <c r="H27" s="77" t="s">
        <v>65</v>
      </c>
      <c r="I27" s="155">
        <f>$D$11*B27</f>
        <v>10</v>
      </c>
      <c r="J27" s="155">
        <f>$J$15*I27</f>
        <v>25.466666666666669</v>
      </c>
      <c r="K27" s="162">
        <f>IF(A27="Y", I27*2%,0)</f>
        <v>0.2</v>
      </c>
      <c r="L27" s="167">
        <f>I27-K27</f>
        <v>9.8000000000000007</v>
      </c>
      <c r="M27" s="164"/>
      <c r="N27" s="1665"/>
      <c r="O27" s="1666"/>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659" t="s">
        <v>254</v>
      </c>
      <c r="D28" s="1659"/>
      <c r="E28" s="1743"/>
      <c r="F28" s="1744"/>
      <c r="G28" s="694" t="s">
        <v>32</v>
      </c>
      <c r="H28" s="77"/>
      <c r="I28" s="155">
        <f t="shared" si="6"/>
        <v>20</v>
      </c>
      <c r="J28" s="155">
        <f t="shared" si="7"/>
        <v>50.933333333333337</v>
      </c>
      <c r="K28" s="162">
        <f t="shared" si="0"/>
        <v>0.4</v>
      </c>
      <c r="L28" s="167">
        <f t="shared" si="2"/>
        <v>19.600000000000001</v>
      </c>
      <c r="M28" s="164"/>
      <c r="N28" s="1665"/>
      <c r="O28" s="1666"/>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449" t="s">
        <v>286</v>
      </c>
      <c r="D29" s="1459"/>
      <c r="E29" s="1459"/>
      <c r="F29" s="1460"/>
      <c r="G29" s="702" t="s">
        <v>32</v>
      </c>
      <c r="H29" s="84" t="s">
        <v>36</v>
      </c>
      <c r="I29" s="155">
        <f t="shared" si="6"/>
        <v>40</v>
      </c>
      <c r="J29" s="155">
        <f t="shared" si="7"/>
        <v>101.86666666666667</v>
      </c>
      <c r="K29" s="162">
        <f t="shared" si="0"/>
        <v>0.8</v>
      </c>
      <c r="L29" s="167">
        <f t="shared" si="2"/>
        <v>39.200000000000003</v>
      </c>
      <c r="M29" s="164"/>
      <c r="N29" s="1665"/>
      <c r="O29" s="1666"/>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449" t="s">
        <v>555</v>
      </c>
      <c r="D30" s="1459"/>
      <c r="E30" s="1460"/>
      <c r="F30" s="1591" t="s">
        <v>281</v>
      </c>
      <c r="G30" s="702" t="s">
        <v>31</v>
      </c>
      <c r="H30" s="84" t="s">
        <v>37</v>
      </c>
      <c r="I30" s="155">
        <f t="shared" si="6"/>
        <v>40</v>
      </c>
      <c r="J30" s="155">
        <f t="shared" si="7"/>
        <v>101.86666666666667</v>
      </c>
      <c r="K30" s="162">
        <f t="shared" si="0"/>
        <v>0.8</v>
      </c>
      <c r="L30" s="167">
        <f t="shared" si="2"/>
        <v>39.200000000000003</v>
      </c>
      <c r="M30" s="164"/>
      <c r="N30" s="1665"/>
      <c r="O30" s="1666"/>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449" t="s">
        <v>556</v>
      </c>
      <c r="D31" s="1459"/>
      <c r="E31" s="1460"/>
      <c r="F31" s="1592"/>
      <c r="G31" s="702" t="s">
        <v>31</v>
      </c>
      <c r="H31" s="84" t="s">
        <v>197</v>
      </c>
      <c r="I31" s="155">
        <f t="shared" si="6"/>
        <v>60</v>
      </c>
      <c r="J31" s="155">
        <f t="shared" si="7"/>
        <v>152.80000000000001</v>
      </c>
      <c r="K31" s="162">
        <f t="shared" si="0"/>
        <v>1.2</v>
      </c>
      <c r="L31" s="167">
        <f t="shared" si="2"/>
        <v>58.8</v>
      </c>
      <c r="M31" s="164"/>
      <c r="N31" s="1665"/>
      <c r="O31" s="1666"/>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449" t="s">
        <v>220</v>
      </c>
      <c r="D32" s="1459"/>
      <c r="E32" s="1459"/>
      <c r="F32" s="1460"/>
      <c r="G32" s="702" t="s">
        <v>31</v>
      </c>
      <c r="H32" s="84" t="s">
        <v>10</v>
      </c>
      <c r="I32" s="155">
        <f>$D$10*20%</f>
        <v>40</v>
      </c>
      <c r="J32" s="155">
        <f t="shared" si="7"/>
        <v>101.86666666666667</v>
      </c>
      <c r="K32" s="162">
        <f t="shared" si="0"/>
        <v>0</v>
      </c>
      <c r="L32" s="167">
        <f t="shared" si="2"/>
        <v>40</v>
      </c>
      <c r="M32" s="164"/>
      <c r="N32" s="1665"/>
      <c r="O32" s="1666"/>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456" t="s">
        <v>221</v>
      </c>
      <c r="D33" s="1694"/>
      <c r="E33" s="1694"/>
      <c r="F33" s="1695"/>
      <c r="G33" s="703"/>
      <c r="H33" s="88"/>
      <c r="I33" s="157">
        <f>SUM(I16:I32)</f>
        <v>750</v>
      </c>
      <c r="J33" s="157">
        <f>J41-SUM(J34:J38)</f>
        <v>1910</v>
      </c>
      <c r="K33" s="162"/>
      <c r="L33" s="168">
        <f>SUM(L16:L32)</f>
        <v>735.80000000000007</v>
      </c>
      <c r="M33" s="165"/>
      <c r="N33" s="1449"/>
      <c r="O33" s="1699"/>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449" t="s">
        <v>419</v>
      </c>
      <c r="D34" s="1459"/>
      <c r="E34" s="1459"/>
      <c r="F34" s="1460"/>
      <c r="G34" s="702" t="s">
        <v>31</v>
      </c>
      <c r="H34" s="91"/>
      <c r="I34" s="204">
        <v>40</v>
      </c>
      <c r="J34" s="155"/>
      <c r="K34" s="162">
        <f>IF(A34="Y", I34*2%,0)</f>
        <v>0</v>
      </c>
      <c r="L34" s="167">
        <f>I34-K34</f>
        <v>40</v>
      </c>
      <c r="M34" s="164"/>
      <c r="N34" s="1449"/>
      <c r="O34" s="1699"/>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446" t="s">
        <v>259</v>
      </c>
      <c r="D35" s="1447"/>
      <c r="E35" s="1447"/>
      <c r="F35" s="1448"/>
      <c r="G35" s="704" t="s">
        <v>31</v>
      </c>
      <c r="H35" s="92" t="s">
        <v>197</v>
      </c>
      <c r="I35" s="204">
        <v>30</v>
      </c>
      <c r="J35" s="155">
        <f t="shared" ref="J35:J38" si="8">I35</f>
        <v>30</v>
      </c>
      <c r="K35" s="162">
        <f t="shared" ref="K35:K38" si="9">IF(A35="Y", I35*2%,0)</f>
        <v>0</v>
      </c>
      <c r="L35" s="167">
        <f t="shared" si="2"/>
        <v>30</v>
      </c>
      <c r="M35" s="164"/>
      <c r="N35" s="1665"/>
      <c r="O35" s="1666"/>
      <c r="P35" s="78"/>
      <c r="Q35" s="72"/>
      <c r="R35" s="155">
        <f>IF($R$41=0,,I35)</f>
        <v>0</v>
      </c>
      <c r="S35" s="162">
        <f t="shared" ref="S35:S38" si="10">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2081" t="s">
        <v>560</v>
      </c>
      <c r="D36" s="2081"/>
      <c r="E36" s="2081"/>
      <c r="F36" s="2081"/>
      <c r="G36" s="704" t="s">
        <v>31</v>
      </c>
      <c r="H36" s="92"/>
      <c r="I36" s="204">
        <v>150</v>
      </c>
      <c r="J36" s="155"/>
      <c r="K36" s="162">
        <f t="shared" si="9"/>
        <v>3</v>
      </c>
      <c r="L36" s="167">
        <f t="shared" si="2"/>
        <v>147</v>
      </c>
      <c r="M36" s="164"/>
      <c r="N36" s="1665"/>
      <c r="O36" s="1666"/>
      <c r="P36" s="78"/>
      <c r="Q36" s="72"/>
      <c r="R36" s="155">
        <f>IF($R$41=0,,I36)</f>
        <v>0</v>
      </c>
      <c r="S36" s="162">
        <f t="shared" si="10"/>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446" t="s">
        <v>454</v>
      </c>
      <c r="D37" s="1447"/>
      <c r="E37" s="1447"/>
      <c r="F37" s="1448"/>
      <c r="G37" s="694" t="s">
        <v>32</v>
      </c>
      <c r="H37" s="92"/>
      <c r="I37" s="204"/>
      <c r="J37" s="155"/>
      <c r="K37" s="162">
        <f t="shared" si="9"/>
        <v>0</v>
      </c>
      <c r="L37" s="167">
        <f t="shared" si="2"/>
        <v>0</v>
      </c>
      <c r="M37" s="164"/>
      <c r="N37" s="1665"/>
      <c r="O37" s="1666"/>
      <c r="P37" s="78"/>
      <c r="Q37" s="72"/>
      <c r="R37" s="155">
        <f>IF($R$41=0,,I37)</f>
        <v>0</v>
      </c>
      <c r="S37" s="162">
        <f t="shared" si="10"/>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449" t="s">
        <v>520</v>
      </c>
      <c r="D38" s="1459"/>
      <c r="E38" s="1459"/>
      <c r="F38" s="1460"/>
      <c r="G38" s="704" t="s">
        <v>230</v>
      </c>
      <c r="H38" s="92" t="s">
        <v>82</v>
      </c>
      <c r="I38" s="204"/>
      <c r="J38" s="155">
        <f t="shared" si="8"/>
        <v>0</v>
      </c>
      <c r="K38" s="162">
        <f t="shared" si="9"/>
        <v>0</v>
      </c>
      <c r="L38" s="167">
        <f t="shared" si="2"/>
        <v>0</v>
      </c>
      <c r="M38" s="164"/>
      <c r="N38" s="1665"/>
      <c r="O38" s="1666"/>
      <c r="P38" s="78"/>
      <c r="Q38" s="72"/>
      <c r="R38" s="155">
        <f>IF($R$41=0,,I38)</f>
        <v>0</v>
      </c>
      <c r="S38" s="162">
        <f t="shared" si="10"/>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665" t="s">
        <v>492</v>
      </c>
      <c r="D39" s="1700"/>
      <c r="E39" s="1700"/>
      <c r="F39" s="1701"/>
      <c r="G39" s="705" t="s">
        <v>31</v>
      </c>
      <c r="H39" s="96" t="s">
        <v>41</v>
      </c>
      <c r="I39" s="97"/>
      <c r="J39" s="104"/>
      <c r="K39" s="163"/>
      <c r="L39" s="169">
        <f>K40</f>
        <v>17.200000000000003</v>
      </c>
      <c r="M39" s="164"/>
      <c r="N39" s="1665"/>
      <c r="O39" s="1666"/>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1736" t="s">
        <v>61</v>
      </c>
      <c r="B42" s="1736"/>
      <c r="C42" s="1736"/>
      <c r="D42" s="210"/>
      <c r="E42" s="133"/>
      <c r="F42" s="133"/>
      <c r="J42" s="134"/>
      <c r="L42" s="135"/>
      <c r="M42" s="136"/>
      <c r="Q42" s="137"/>
      <c r="R42" s="137"/>
      <c r="S42" s="137"/>
      <c r="T42" s="137"/>
      <c r="U42" s="137"/>
      <c r="V42" s="138"/>
      <c r="W42" s="138"/>
      <c r="X42" s="139"/>
    </row>
    <row r="43" spans="1:29" s="141" customFormat="1" ht="18" customHeight="1" x14ac:dyDescent="0.2">
      <c r="A43" s="769">
        <v>1</v>
      </c>
      <c r="B43" s="2095"/>
      <c r="C43" s="2096"/>
      <c r="D43" s="2096"/>
      <c r="E43" s="2096"/>
      <c r="F43" s="2096"/>
      <c r="G43" s="2096"/>
      <c r="H43" s="2096"/>
      <c r="I43" s="2096"/>
      <c r="J43" s="2096"/>
      <c r="K43" s="2096"/>
      <c r="L43" s="2096"/>
      <c r="M43" s="2096"/>
      <c r="N43" s="2096"/>
      <c r="O43" s="2096"/>
      <c r="P43" s="2096"/>
      <c r="Q43" s="2096"/>
      <c r="R43" s="2096"/>
      <c r="S43" s="2096"/>
      <c r="T43" s="2096"/>
      <c r="U43" s="2096"/>
      <c r="V43" s="2096"/>
      <c r="W43" s="2096"/>
      <c r="X43" s="2097"/>
    </row>
    <row r="44" spans="1:29" s="141" customFormat="1" ht="18" customHeight="1" x14ac:dyDescent="0.2">
      <c r="A44" s="769">
        <v>2</v>
      </c>
      <c r="B44" s="2095"/>
      <c r="C44" s="2096"/>
      <c r="D44" s="2096"/>
      <c r="E44" s="2096"/>
      <c r="F44" s="2096"/>
      <c r="G44" s="2096"/>
      <c r="H44" s="2096"/>
      <c r="I44" s="2096"/>
      <c r="J44" s="2096"/>
      <c r="K44" s="2096"/>
      <c r="L44" s="2096"/>
      <c r="M44" s="2096"/>
      <c r="N44" s="2096"/>
      <c r="O44" s="2096"/>
      <c r="P44" s="2096"/>
      <c r="Q44" s="2096"/>
      <c r="R44" s="2096"/>
      <c r="S44" s="2096"/>
      <c r="T44" s="2096"/>
      <c r="U44" s="2096"/>
      <c r="V44" s="2096"/>
      <c r="W44" s="2096"/>
      <c r="X44" s="2097"/>
    </row>
    <row r="45" spans="1:29" s="141" customFormat="1" ht="18" customHeight="1" x14ac:dyDescent="0.2">
      <c r="A45" s="769">
        <v>3</v>
      </c>
      <c r="B45" s="2095"/>
      <c r="C45" s="2096"/>
      <c r="D45" s="2096"/>
      <c r="E45" s="2096"/>
      <c r="F45" s="2096"/>
      <c r="G45" s="2096"/>
      <c r="H45" s="2096"/>
      <c r="I45" s="2096"/>
      <c r="J45" s="2096"/>
      <c r="K45" s="2096"/>
      <c r="L45" s="2096"/>
      <c r="M45" s="2096"/>
      <c r="N45" s="2096"/>
      <c r="O45" s="2096"/>
      <c r="P45" s="2096"/>
      <c r="Q45" s="2096"/>
      <c r="R45" s="2096"/>
      <c r="S45" s="2096"/>
      <c r="T45" s="2096"/>
      <c r="U45" s="2096"/>
      <c r="V45" s="2096"/>
      <c r="W45" s="2096"/>
      <c r="X45" s="2097"/>
    </row>
    <row r="46" spans="1:29" s="54" customFormat="1" ht="20.25" customHeight="1" x14ac:dyDescent="0.2">
      <c r="A46" s="769">
        <v>4</v>
      </c>
      <c r="B46" s="2095"/>
      <c r="C46" s="2096"/>
      <c r="D46" s="2096"/>
      <c r="E46" s="2096"/>
      <c r="F46" s="2096"/>
      <c r="G46" s="2096"/>
      <c r="H46" s="2096"/>
      <c r="I46" s="2096"/>
      <c r="J46" s="2096"/>
      <c r="K46" s="2096"/>
      <c r="L46" s="2096"/>
      <c r="M46" s="2096"/>
      <c r="N46" s="2096"/>
      <c r="O46" s="2096"/>
      <c r="P46" s="2096"/>
      <c r="Q46" s="2096"/>
      <c r="R46" s="2096"/>
      <c r="S46" s="2096"/>
      <c r="T46" s="2096"/>
      <c r="U46" s="2096"/>
      <c r="V46" s="2096"/>
      <c r="W46" s="2096"/>
      <c r="X46" s="2097"/>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formula1>Yes_No</formula1>
    </dataValidation>
    <dataValidation type="list" allowBlank="1" showInputMessage="1" showErrorMessage="1" sqref="V15">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259" t="s">
        <v>16</v>
      </c>
      <c r="B1" s="1259"/>
      <c r="C1" s="756" t="s">
        <v>522</v>
      </c>
    </row>
    <row r="2" spans="1:4" ht="24" customHeight="1" x14ac:dyDescent="0.2">
      <c r="A2" s="757">
        <v>1</v>
      </c>
      <c r="B2" s="747" t="s">
        <v>89</v>
      </c>
      <c r="C2" s="748" t="s">
        <v>531</v>
      </c>
      <c r="D2" s="1258"/>
    </row>
    <row r="3" spans="1:4" ht="30.75" customHeight="1" x14ac:dyDescent="0.2">
      <c r="A3" s="757">
        <v>2</v>
      </c>
      <c r="B3" s="747" t="s">
        <v>89</v>
      </c>
      <c r="C3" s="748" t="s">
        <v>532</v>
      </c>
      <c r="D3" s="1258"/>
    </row>
    <row r="4" spans="1:4" ht="24" customHeight="1" x14ac:dyDescent="0.2">
      <c r="A4" s="757">
        <v>3</v>
      </c>
      <c r="B4" s="747" t="s">
        <v>90</v>
      </c>
      <c r="C4" s="748" t="s">
        <v>533</v>
      </c>
      <c r="D4" s="1258"/>
    </row>
    <row r="5" spans="1:4" ht="24" customHeight="1" x14ac:dyDescent="0.2">
      <c r="A5" s="758">
        <v>4</v>
      </c>
      <c r="B5" s="749" t="s">
        <v>91</v>
      </c>
      <c r="C5" s="748" t="s">
        <v>523</v>
      </c>
      <c r="D5" s="1258"/>
    </row>
    <row r="6" spans="1:4" ht="24" customHeight="1" x14ac:dyDescent="0.2">
      <c r="A6" s="757">
        <v>5</v>
      </c>
      <c r="B6" s="747" t="s">
        <v>92</v>
      </c>
      <c r="C6" s="750" t="s">
        <v>524</v>
      </c>
      <c r="D6" s="1258"/>
    </row>
    <row r="7" spans="1:4" ht="24" customHeight="1" x14ac:dyDescent="0.2">
      <c r="A7" s="757">
        <v>6</v>
      </c>
      <c r="B7" s="747" t="s">
        <v>93</v>
      </c>
      <c r="C7" s="748" t="s">
        <v>525</v>
      </c>
      <c r="D7" s="1258"/>
    </row>
    <row r="8" spans="1:4" ht="24" customHeight="1" x14ac:dyDescent="0.2">
      <c r="A8" s="758">
        <v>7</v>
      </c>
      <c r="B8" s="749" t="s">
        <v>63</v>
      </c>
      <c r="C8" s="748" t="s">
        <v>526</v>
      </c>
      <c r="D8" s="1258"/>
    </row>
    <row r="9" spans="1:4" ht="24" customHeight="1" x14ac:dyDescent="0.2">
      <c r="A9" s="758">
        <v>8</v>
      </c>
      <c r="B9" s="749" t="s">
        <v>93</v>
      </c>
      <c r="C9" s="748" t="s">
        <v>535</v>
      </c>
      <c r="D9" s="1258"/>
    </row>
    <row r="10" spans="1:4" ht="24" customHeight="1" x14ac:dyDescent="0.2">
      <c r="A10" s="758">
        <v>9</v>
      </c>
      <c r="B10" s="749" t="s">
        <v>94</v>
      </c>
      <c r="C10" s="748" t="s">
        <v>527</v>
      </c>
      <c r="D10" s="1258"/>
    </row>
    <row r="11" spans="1:4" ht="24" customHeight="1" x14ac:dyDescent="0.2">
      <c r="A11" s="758">
        <v>10</v>
      </c>
      <c r="B11" s="749" t="s">
        <v>95</v>
      </c>
      <c r="C11" s="748" t="s">
        <v>528</v>
      </c>
      <c r="D11" s="1258"/>
    </row>
    <row r="12" spans="1:4" ht="24" customHeight="1" x14ac:dyDescent="0.2">
      <c r="A12" s="757">
        <v>11</v>
      </c>
      <c r="B12" s="747" t="s">
        <v>96</v>
      </c>
      <c r="C12" s="748" t="s">
        <v>540</v>
      </c>
      <c r="D12" s="1258"/>
    </row>
    <row r="13" spans="1:4" ht="24" customHeight="1" x14ac:dyDescent="0.2">
      <c r="A13" s="757">
        <v>12</v>
      </c>
      <c r="B13" s="747" t="s">
        <v>97</v>
      </c>
      <c r="C13" s="748" t="s">
        <v>541</v>
      </c>
      <c r="D13" s="1258"/>
    </row>
    <row r="14" spans="1:4" ht="24" customHeight="1" x14ac:dyDescent="0.2">
      <c r="A14" s="757">
        <v>13</v>
      </c>
      <c r="B14" s="747" t="s">
        <v>98</v>
      </c>
      <c r="C14" s="748" t="s">
        <v>539</v>
      </c>
      <c r="D14" s="1258"/>
    </row>
    <row r="15" spans="1:4" ht="24" customHeight="1" x14ac:dyDescent="0.2">
      <c r="A15" s="758">
        <v>14</v>
      </c>
      <c r="B15" s="749" t="s">
        <v>23</v>
      </c>
      <c r="C15" s="748" t="s">
        <v>534</v>
      </c>
      <c r="D15" s="1258"/>
    </row>
    <row r="16" spans="1:4" ht="24" customHeight="1" x14ac:dyDescent="0.2">
      <c r="A16" s="757">
        <v>15</v>
      </c>
      <c r="B16" s="747" t="s">
        <v>99</v>
      </c>
      <c r="C16" s="748" t="s">
        <v>536</v>
      </c>
      <c r="D16" s="1258"/>
    </row>
    <row r="17" spans="1:42" ht="24" customHeight="1" x14ac:dyDescent="0.2">
      <c r="A17" s="758">
        <v>16</v>
      </c>
      <c r="B17" s="749" t="s">
        <v>100</v>
      </c>
      <c r="C17" s="748" t="s">
        <v>529</v>
      </c>
      <c r="D17" s="1258"/>
    </row>
    <row r="18" spans="1:42" ht="24" customHeight="1" x14ac:dyDescent="0.2">
      <c r="A18" s="757">
        <v>17</v>
      </c>
      <c r="B18" s="747" t="s">
        <v>70</v>
      </c>
      <c r="C18" s="748" t="s">
        <v>537</v>
      </c>
      <c r="D18" s="1258"/>
    </row>
    <row r="19" spans="1:42" ht="24" customHeight="1" x14ac:dyDescent="0.2">
      <c r="A19" s="757">
        <v>18</v>
      </c>
      <c r="B19" s="747" t="s">
        <v>70</v>
      </c>
      <c r="C19" s="748" t="s">
        <v>538</v>
      </c>
      <c r="D19" s="1258"/>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6:D7"/>
    <mergeCell ref="D8:D9"/>
    <mergeCell ref="D2:D3"/>
    <mergeCell ref="D4:D5"/>
    <mergeCell ref="A1:B1"/>
    <mergeCell ref="D18:D19"/>
    <mergeCell ref="D14:D15"/>
    <mergeCell ref="D16:D17"/>
    <mergeCell ref="D10:D11"/>
    <mergeCell ref="D12:D13"/>
  </mergeCells>
  <conditionalFormatting sqref="A2:C20">
    <cfRule type="expression" dxfId="178" priority="2" stopIfTrue="1">
      <formula>MOD(ROW(),2)=0</formula>
    </cfRule>
  </conditionalFormatting>
  <hyperlinks>
    <hyperlink ref="A2:B2" location="'1-DUI (Reduce Base)'!A1" display="'1-DUI (Reduce Base)'!A1"/>
    <hyperlink ref="A3:B3" location="'2-DUI (Reduce Base)'!A1" display="'2-DUI (Reduce Base)'!A1"/>
    <hyperlink ref="A4:B4" location="'3-RD (Reduce Base)'!A1" display="'3-RD (Reduce Base)'!A1"/>
    <hyperlink ref="A5:B5" location="'4-RRBF'!A1" display="'4-RRBF'!A1"/>
    <hyperlink ref="A6:B6" location="'5-RRTS (BF &amp; No 2%)'!A1" display="'5-RRTS (BF &amp; No 2%)'!A1"/>
    <hyperlink ref="A7:B7" location="'6-RLBF'!A1" display="'6-RLBF'!A1"/>
    <hyperlink ref="A8:B8" location="'7-RLTS'!A1" display="'7-RLTS'!A1"/>
    <hyperlink ref="A9:B9" location="'8-RLBF (No 30%)'!A1" display="'8-RLBF (No 30%)'!A1"/>
    <hyperlink ref="A10:B10" location="'9-SpBF'!A1" display="'9-SpBF'!A1"/>
    <hyperlink ref="A11:B11" location="'10-SpTS'!A1" display="'10-SpTS'!A1"/>
    <hyperlink ref="A12:B12" location="'11-CSBF'!A1" display="'11-CSBF'!A1"/>
    <hyperlink ref="A13:B13" location="'12-CSTS (BF &amp; 2%)'!A1" display="'12-CSTS (BF &amp; 2%)'!A1"/>
    <hyperlink ref="A14:B14" location="'13-UC'!A1" display="'13-UC'!A1"/>
    <hyperlink ref="A15:B15" location="'14-POC'!A1" display="'14-POC'!A1"/>
    <hyperlink ref="A16:B16" location="'15-POI (Base Reduce)'!A1" display="'15-POI (Base Reduce)'!A1"/>
    <hyperlink ref="A17:B17" location="'16-DV'!A1" display="'16-DV'!A1"/>
    <hyperlink ref="A18:B18" location="'17-HS (Enhance Base)'!A1" display="'17-HS (Enhance Base)'!A1"/>
    <hyperlink ref="A19:B19" location="'18-HS (Enh-Red Base)'!A1" display="'18-HS (Enh-Red Base)'!A1"/>
    <hyperlink ref="A20:B20" location="'19-FG'!A1" display="'19-FG'!A1"/>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669" t="s">
        <v>333</v>
      </c>
      <c r="B1" s="1670"/>
      <c r="C1" s="1670"/>
      <c r="D1" s="1670"/>
      <c r="E1" s="1670"/>
      <c r="F1" s="1670"/>
      <c r="G1" s="1670"/>
      <c r="H1" s="1670"/>
      <c r="I1" s="1670"/>
      <c r="J1" s="1670"/>
      <c r="K1" s="1670"/>
      <c r="L1" s="1670"/>
      <c r="M1" s="1667"/>
      <c r="N1" s="1667"/>
      <c r="O1" s="1667"/>
      <c r="P1" s="1667"/>
      <c r="Q1" s="1667"/>
      <c r="R1" s="1667"/>
      <c r="S1" s="1667"/>
      <c r="T1" s="1667"/>
      <c r="U1" s="1667"/>
      <c r="V1" s="1667"/>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1845"/>
      <c r="O3" s="1969"/>
      <c r="P3" s="785"/>
      <c r="Q3" s="237"/>
      <c r="R3" s="1792" t="s">
        <v>261</v>
      </c>
      <c r="S3" s="1793"/>
      <c r="T3" s="1793"/>
      <c r="U3" s="1793"/>
      <c r="V3" s="1793"/>
      <c r="W3" s="1793"/>
      <c r="X3" s="1794"/>
      <c r="Z3" s="174" t="s">
        <v>250</v>
      </c>
      <c r="AA3" s="132"/>
    </row>
    <row r="4" spans="1:29" s="57" customFormat="1" ht="15.75" x14ac:dyDescent="0.2">
      <c r="A4" s="1379" t="s">
        <v>231</v>
      </c>
      <c r="B4" s="1380"/>
      <c r="C4" s="1380"/>
      <c r="D4" s="1335">
        <f>M1</f>
        <v>0</v>
      </c>
      <c r="E4" s="1336"/>
      <c r="F4" s="1381" t="s">
        <v>28</v>
      </c>
      <c r="G4" s="1382"/>
      <c r="H4" s="208"/>
      <c r="I4" s="1795"/>
      <c r="J4" s="1795"/>
      <c r="K4" s="1795"/>
      <c r="L4" s="1795"/>
      <c r="M4" s="1795"/>
      <c r="N4" s="1383" t="s">
        <v>257</v>
      </c>
      <c r="O4" s="1383"/>
      <c r="P4" s="209"/>
      <c r="Q4" s="238"/>
      <c r="R4" s="1796" t="s">
        <v>236</v>
      </c>
      <c r="S4" s="1797"/>
      <c r="T4" s="1797"/>
      <c r="U4" s="1797"/>
      <c r="V4" s="1797"/>
      <c r="W4" s="1797"/>
      <c r="X4" s="1798"/>
      <c r="Z4" s="271" t="s">
        <v>308</v>
      </c>
      <c r="AA4" s="269" t="s">
        <v>309</v>
      </c>
      <c r="AB4" s="269" t="s">
        <v>310</v>
      </c>
    </row>
    <row r="5" spans="1:29" s="57" customFormat="1" ht="15.75" x14ac:dyDescent="0.2">
      <c r="A5" s="1384" t="s">
        <v>4</v>
      </c>
      <c r="B5" s="1385"/>
      <c r="C5" s="1385"/>
      <c r="D5" s="1289"/>
      <c r="E5" s="1283"/>
      <c r="F5" s="1386" t="s">
        <v>244</v>
      </c>
      <c r="G5" s="1387"/>
      <c r="H5" s="185"/>
      <c r="I5" s="1393"/>
      <c r="J5" s="1393"/>
      <c r="K5" s="1393"/>
      <c r="L5" s="1393"/>
      <c r="M5" s="1393"/>
      <c r="N5" s="1388" t="s">
        <v>22</v>
      </c>
      <c r="O5" s="1388"/>
      <c r="P5" s="58"/>
      <c r="Q5" s="238"/>
      <c r="R5" s="1789" t="s">
        <v>391</v>
      </c>
      <c r="S5" s="1790"/>
      <c r="T5" s="1790"/>
      <c r="U5" s="1790"/>
      <c r="V5" s="1790"/>
      <c r="W5" s="1790"/>
      <c r="X5" s="1791"/>
      <c r="Z5" s="172" t="s">
        <v>31</v>
      </c>
      <c r="AA5" s="176">
        <f>SUMIF($G$16:$G$40,"STATE",$L$16:$L$40)</f>
        <v>551.05000000000007</v>
      </c>
      <c r="AB5" s="176">
        <f>SUMIF($G$16:$G$40,"STATE",$T$16:$T$40)</f>
        <v>0</v>
      </c>
    </row>
    <row r="6" spans="1:29" s="57" customFormat="1" ht="16.5" thickBot="1" x14ac:dyDescent="0.25">
      <c r="A6" s="1384" t="s">
        <v>12</v>
      </c>
      <c r="B6" s="1385"/>
      <c r="C6" s="1385"/>
      <c r="D6" s="1282"/>
      <c r="E6" s="1283"/>
      <c r="F6" s="1386" t="s">
        <v>20</v>
      </c>
      <c r="G6" s="1387"/>
      <c r="H6" s="185"/>
      <c r="I6" s="1393" t="s">
        <v>11</v>
      </c>
      <c r="J6" s="1393"/>
      <c r="K6" s="1393"/>
      <c r="L6" s="1393"/>
      <c r="M6" s="1393"/>
      <c r="N6" s="1389" t="s">
        <v>233</v>
      </c>
      <c r="O6" s="1389"/>
      <c r="P6" s="212">
        <f>P4+P5*10</f>
        <v>0</v>
      </c>
      <c r="Q6" s="238"/>
      <c r="R6" s="1786" t="s">
        <v>573</v>
      </c>
      <c r="S6" s="1787"/>
      <c r="T6" s="1787"/>
      <c r="U6" s="1787"/>
      <c r="V6" s="1787"/>
      <c r="W6" s="1787"/>
      <c r="X6" s="1788"/>
      <c r="Z6" s="172" t="s">
        <v>32</v>
      </c>
      <c r="AA6" s="176">
        <f>SUMIF($G$16:$G$40,"COUNTY",$L$16:$L$40)</f>
        <v>369.9500000000001</v>
      </c>
      <c r="AB6" s="176">
        <f>SUMIF($G$16:$G$40,"COUNTY",$T$16:$T$40)</f>
        <v>0</v>
      </c>
    </row>
    <row r="7" spans="1:29" s="57" customFormat="1" ht="16.5" thickBot="1" x14ac:dyDescent="0.25">
      <c r="A7" s="1384" t="s">
        <v>5</v>
      </c>
      <c r="B7" s="1385"/>
      <c r="C7" s="1385"/>
      <c r="D7" s="1282"/>
      <c r="E7" s="1283"/>
      <c r="F7" s="1693" t="s">
        <v>21</v>
      </c>
      <c r="G7" s="1664"/>
      <c r="H7" s="241"/>
      <c r="I7" s="1776"/>
      <c r="J7" s="1776"/>
      <c r="K7" s="1776"/>
      <c r="L7" s="1776"/>
      <c r="M7" s="1777"/>
      <c r="N7" s="235"/>
      <c r="O7" s="242"/>
      <c r="P7" s="236"/>
      <c r="Q7" s="238"/>
      <c r="R7" s="1778" t="s">
        <v>332</v>
      </c>
      <c r="S7" s="1779"/>
      <c r="T7" s="1779"/>
      <c r="U7" s="1779"/>
      <c r="V7" s="1779"/>
      <c r="W7" s="1779"/>
      <c r="X7" s="1780"/>
      <c r="Z7" s="172" t="s">
        <v>52</v>
      </c>
      <c r="AA7" s="176">
        <f>SUMIF($G$16:$G$40,"CITY",$L$16:$L$40)</f>
        <v>0</v>
      </c>
      <c r="AB7" s="176">
        <f>SUMIF($G$16:$G$40,"CITY",$T$16:$T$40)</f>
        <v>0</v>
      </c>
    </row>
    <row r="8" spans="1:29" s="57" customFormat="1" ht="15.75" customHeight="1" x14ac:dyDescent="0.2">
      <c r="A8" s="1394" t="s">
        <v>444</v>
      </c>
      <c r="B8" s="1395"/>
      <c r="C8" s="1395"/>
      <c r="D8" s="1781" t="s">
        <v>436</v>
      </c>
      <c r="E8" s="1809"/>
      <c r="F8" s="1379" t="s">
        <v>253</v>
      </c>
      <c r="G8" s="1380"/>
      <c r="H8" s="187"/>
      <c r="I8" s="1785"/>
      <c r="J8" s="1785"/>
      <c r="K8" s="1785"/>
      <c r="L8" s="1785"/>
      <c r="M8" s="1785"/>
      <c r="N8" s="1333" t="s">
        <v>257</v>
      </c>
      <c r="O8" s="1333"/>
      <c r="P8" s="55">
        <v>0</v>
      </c>
      <c r="Q8" s="239"/>
      <c r="R8" s="1772" t="s">
        <v>303</v>
      </c>
      <c r="S8" s="1726"/>
      <c r="T8" s="1726"/>
      <c r="U8" s="1726"/>
      <c r="V8" s="1726"/>
      <c r="W8" s="1726"/>
      <c r="X8" s="1773"/>
      <c r="Z8" s="172" t="s">
        <v>230</v>
      </c>
      <c r="AA8" s="176">
        <f>SUMIF($G$16:$G$40,"COURT",$L$16:$L$40)</f>
        <v>0</v>
      </c>
      <c r="AB8" s="176">
        <f>SUMIF($G$16:$G$40,"COURT",$T$16:$T$40)</f>
        <v>0</v>
      </c>
    </row>
    <row r="9" spans="1:29" s="57" customFormat="1" ht="18" customHeight="1" thickBot="1" x14ac:dyDescent="0.25">
      <c r="A9" s="1402" t="s">
        <v>85</v>
      </c>
      <c r="B9" s="1403"/>
      <c r="C9" s="1403"/>
      <c r="D9" s="1404" t="str">
        <f>IF(D8="Yes", "No", "Yes")</f>
        <v>No</v>
      </c>
      <c r="E9" s="1405"/>
      <c r="F9" s="1386" t="s">
        <v>244</v>
      </c>
      <c r="G9" s="1387"/>
      <c r="H9" s="185"/>
      <c r="I9" s="1393"/>
      <c r="J9" s="1393"/>
      <c r="K9" s="1393"/>
      <c r="L9" s="1393"/>
      <c r="M9" s="1393"/>
      <c r="N9" s="1388" t="s">
        <v>22</v>
      </c>
      <c r="O9" s="1388"/>
      <c r="P9" s="58"/>
      <c r="Q9" s="239"/>
      <c r="R9" s="1774"/>
      <c r="S9" s="1729"/>
      <c r="T9" s="1729"/>
      <c r="U9" s="1729"/>
      <c r="V9" s="1729"/>
      <c r="W9" s="1729"/>
      <c r="X9" s="1775"/>
      <c r="Z9" s="153" t="s">
        <v>456</v>
      </c>
      <c r="AA9" s="176">
        <f>SUMIF($G$16:$G$40,"ST or CNTY",$L$16:$L$40)</f>
        <v>49</v>
      </c>
      <c r="AB9" s="176">
        <f>SUMIF($G$16:$G$40,"ST or CNTY",$T$16:$T$40)</f>
        <v>0</v>
      </c>
    </row>
    <row r="10" spans="1:29" s="57" customFormat="1" ht="16.5" customHeight="1" thickBot="1" x14ac:dyDescent="0.25">
      <c r="A10" s="1436" t="s">
        <v>276</v>
      </c>
      <c r="B10" s="1437"/>
      <c r="C10" s="1437"/>
      <c r="D10" s="1651">
        <f>P6+P10+I16+I17</f>
        <v>200</v>
      </c>
      <c r="E10" s="1652"/>
      <c r="F10" s="1386" t="s">
        <v>20</v>
      </c>
      <c r="G10" s="1387"/>
      <c r="H10" s="185"/>
      <c r="I10" s="1393"/>
      <c r="J10" s="1393"/>
      <c r="K10" s="1393"/>
      <c r="L10" s="1393"/>
      <c r="M10" s="1393"/>
      <c r="N10" s="1389" t="s">
        <v>233</v>
      </c>
      <c r="O10" s="1389"/>
      <c r="P10" s="212">
        <f>P8+P9*10</f>
        <v>0</v>
      </c>
      <c r="Q10" s="240"/>
      <c r="R10" s="1769" t="s">
        <v>239</v>
      </c>
      <c r="S10" s="1770"/>
      <c r="T10" s="1770"/>
      <c r="U10" s="1770"/>
      <c r="V10" s="1770"/>
      <c r="W10" s="1770"/>
      <c r="X10" s="1771"/>
      <c r="Z10" s="683" t="s">
        <v>246</v>
      </c>
      <c r="AA10" s="148">
        <f>SUM(AA5:AA9)</f>
        <v>970.00000000000023</v>
      </c>
      <c r="AB10" s="148">
        <f>SUM(AB5:AB9)</f>
        <v>0</v>
      </c>
    </row>
    <row r="11" spans="1:29" s="57" customFormat="1" ht="16.5" customHeight="1" thickBot="1" x14ac:dyDescent="0.25">
      <c r="A11" s="1439" t="s">
        <v>277</v>
      </c>
      <c r="B11" s="1440"/>
      <c r="C11" s="1440"/>
      <c r="D11" s="1649">
        <f>ROUNDUP(D10/10,0)</f>
        <v>20</v>
      </c>
      <c r="E11" s="1650"/>
      <c r="F11" s="1398" t="s">
        <v>21</v>
      </c>
      <c r="G11" s="1399"/>
      <c r="H11" s="186"/>
      <c r="I11" s="1754"/>
      <c r="J11" s="1754"/>
      <c r="K11" s="1754"/>
      <c r="L11" s="1754"/>
      <c r="M11" s="2077"/>
      <c r="N11" s="1400" t="s">
        <v>568</v>
      </c>
      <c r="O11" s="1401"/>
      <c r="P11" s="780">
        <f>'1-DUI (Reduce Base)'!P11</f>
        <v>5</v>
      </c>
      <c r="Q11" s="240"/>
      <c r="R11" s="1755" t="s">
        <v>430</v>
      </c>
      <c r="S11" s="1756"/>
      <c r="T11" s="1756"/>
      <c r="U11" s="1756"/>
      <c r="V11" s="1756"/>
      <c r="W11" s="1756"/>
      <c r="X11" s="1757"/>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758" t="s">
        <v>297</v>
      </c>
      <c r="J13" s="1759"/>
      <c r="K13" s="1759"/>
      <c r="L13" s="1760"/>
      <c r="M13" s="110"/>
      <c r="N13" s="1761" t="s">
        <v>229</v>
      </c>
      <c r="O13" s="1762"/>
      <c r="P13" s="1763"/>
      <c r="Q13" s="111"/>
      <c r="R13" s="1764" t="s">
        <v>295</v>
      </c>
      <c r="S13" s="1765"/>
      <c r="T13" s="1766"/>
      <c r="U13" s="226"/>
      <c r="V13" s="158"/>
      <c r="W13" s="158"/>
      <c r="X13" s="159"/>
      <c r="Y13" s="108"/>
      <c r="Z13" s="108"/>
      <c r="AA13" s="108"/>
      <c r="AB13" s="108"/>
      <c r="AC13" s="108"/>
    </row>
    <row r="14" spans="1:29" ht="44.25" customHeight="1" thickBot="1" x14ac:dyDescent="0.25">
      <c r="A14" s="686">
        <v>0.02</v>
      </c>
      <c r="B14" s="686" t="s">
        <v>58</v>
      </c>
      <c r="C14" s="1364" t="s">
        <v>226</v>
      </c>
      <c r="D14" s="1365"/>
      <c r="E14" s="1365"/>
      <c r="F14" s="1366"/>
      <c r="G14" s="688" t="s">
        <v>249</v>
      </c>
      <c r="H14" s="114" t="s">
        <v>0</v>
      </c>
      <c r="I14" s="684" t="s">
        <v>298</v>
      </c>
      <c r="J14" s="692" t="s">
        <v>252</v>
      </c>
      <c r="K14" s="1747" t="s">
        <v>6</v>
      </c>
      <c r="L14" s="691" t="s">
        <v>299</v>
      </c>
      <c r="M14" s="67"/>
      <c r="N14" s="1716" t="s">
        <v>260</v>
      </c>
      <c r="O14" s="1717"/>
      <c r="P14" s="692" t="s">
        <v>248</v>
      </c>
      <c r="Q14" s="121"/>
      <c r="R14" s="690" t="s">
        <v>428</v>
      </c>
      <c r="S14" s="1747" t="s">
        <v>6</v>
      </c>
      <c r="T14" s="691" t="s">
        <v>299</v>
      </c>
      <c r="U14" s="228"/>
      <c r="V14" s="682" t="s">
        <v>256</v>
      </c>
      <c r="W14" s="1749" t="s">
        <v>61</v>
      </c>
      <c r="X14" s="1751" t="s">
        <v>384</v>
      </c>
    </row>
    <row r="15" spans="1:29" ht="30.75" customHeight="1" thickBot="1" x14ac:dyDescent="0.25">
      <c r="A15" s="687"/>
      <c r="B15" s="687"/>
      <c r="C15" s="1367"/>
      <c r="D15" s="1368"/>
      <c r="E15" s="1368"/>
      <c r="F15" s="1369"/>
      <c r="G15" s="689"/>
      <c r="H15" s="689"/>
      <c r="I15" s="685"/>
      <c r="J15" s="161">
        <f>J34/I34</f>
        <v>2.3466666666666667</v>
      </c>
      <c r="K15" s="1748"/>
      <c r="L15" s="244" t="s">
        <v>42</v>
      </c>
      <c r="M15" s="68"/>
      <c r="N15" s="1714"/>
      <c r="O15" s="1715"/>
      <c r="P15" s="245" t="s">
        <v>43</v>
      </c>
      <c r="Q15" s="121"/>
      <c r="R15" s="246">
        <f>R34/I34</f>
        <v>0</v>
      </c>
      <c r="S15" s="1748"/>
      <c r="T15" s="244" t="s">
        <v>44</v>
      </c>
      <c r="U15" s="228"/>
      <c r="V15" s="298" t="s">
        <v>300</v>
      </c>
      <c r="W15" s="1750"/>
      <c r="X15" s="1752"/>
    </row>
    <row r="16" spans="1:29" s="74" customFormat="1" ht="15.75" customHeight="1" thickTop="1" x14ac:dyDescent="0.2">
      <c r="A16" s="69" t="s">
        <v>8</v>
      </c>
      <c r="B16" s="1915" t="s">
        <v>241</v>
      </c>
      <c r="C16" s="1745" t="s">
        <v>465</v>
      </c>
      <c r="D16" s="1692"/>
      <c r="E16" s="1692"/>
      <c r="F16" s="1692"/>
      <c r="G16" s="695" t="s">
        <v>456</v>
      </c>
      <c r="H16" s="71" t="s">
        <v>329</v>
      </c>
      <c r="I16" s="204">
        <v>50</v>
      </c>
      <c r="J16" s="160">
        <f>I16</f>
        <v>50</v>
      </c>
      <c r="K16" s="162">
        <f t="shared" ref="K16:K33" si="0">IF(A16="Y", I16*2%,0)</f>
        <v>1</v>
      </c>
      <c r="L16" s="198">
        <f>I16-K16</f>
        <v>49</v>
      </c>
      <c r="M16" s="164"/>
      <c r="N16" s="1731"/>
      <c r="O16" s="1732"/>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660"/>
      <c r="C17" s="1745" t="s">
        <v>420</v>
      </c>
      <c r="D17" s="1692"/>
      <c r="E17" s="1692"/>
      <c r="F17" s="1692"/>
      <c r="G17" s="694" t="s">
        <v>32</v>
      </c>
      <c r="H17" s="77" t="s">
        <v>71</v>
      </c>
      <c r="I17" s="204">
        <v>150</v>
      </c>
      <c r="J17" s="155">
        <f>I17</f>
        <v>150</v>
      </c>
      <c r="K17" s="162">
        <f t="shared" si="0"/>
        <v>3</v>
      </c>
      <c r="L17" s="167">
        <f t="shared" ref="L17:L39" si="2">I17-K17</f>
        <v>147</v>
      </c>
      <c r="M17" s="164"/>
      <c r="N17" s="1665"/>
      <c r="O17" s="1666"/>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660"/>
      <c r="C18" s="1745" t="s">
        <v>496</v>
      </c>
      <c r="D18" s="1692"/>
      <c r="E18" s="1692"/>
      <c r="F18" s="1692"/>
      <c r="G18" s="694" t="s">
        <v>32</v>
      </c>
      <c r="H18" s="77"/>
      <c r="I18" s="155">
        <v>50</v>
      </c>
      <c r="J18" s="155" t="e">
        <f>((SUM(I15:I19)*J14)-SUM(J15:J17))*D7</f>
        <v>#VALUE!</v>
      </c>
      <c r="K18" s="162">
        <f t="shared" ref="K18" si="4">IF(A18="Y", I18*2%,0)</f>
        <v>1</v>
      </c>
      <c r="L18" s="167">
        <f t="shared" ref="L18" si="5">I18-K18</f>
        <v>49</v>
      </c>
      <c r="M18" s="164"/>
      <c r="N18" s="1665"/>
      <c r="O18" s="1666"/>
      <c r="P18" s="78"/>
      <c r="Q18" s="72"/>
      <c r="R18" s="155">
        <f>IF($R$42=0,,IF($R$15*$I$18&gt;$I$18,$I$18,$R$15*$I$18))</f>
        <v>0</v>
      </c>
      <c r="S18" s="162">
        <f t="shared" ref="S18" si="6">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660"/>
      <c r="C19" s="1659" t="s">
        <v>330</v>
      </c>
      <c r="D19" s="1659"/>
      <c r="E19" s="1659"/>
      <c r="F19" s="1659"/>
      <c r="G19" s="694" t="s">
        <v>31</v>
      </c>
      <c r="H19" s="77" t="s">
        <v>10</v>
      </c>
      <c r="I19" s="155">
        <f>($D$10-SUM($I$16:$I$18))*75%</f>
        <v>-37.5</v>
      </c>
      <c r="J19" s="155" t="e">
        <f>((SUM(I16:I20)*J15)-SUM(J16:J18))*D8</f>
        <v>#VALUE!</v>
      </c>
      <c r="K19" s="162">
        <f t="shared" si="0"/>
        <v>-0.75</v>
      </c>
      <c r="L19" s="167">
        <f t="shared" si="2"/>
        <v>-36.75</v>
      </c>
      <c r="M19" s="164"/>
      <c r="N19" s="1665"/>
      <c r="O19" s="1666"/>
      <c r="P19" s="78"/>
      <c r="Q19" s="72"/>
      <c r="R19" s="155">
        <f>IF($R$42=0,,(($R$15*$D$10)-SUM($R$16:$R$18))*75%)</f>
        <v>0</v>
      </c>
      <c r="S19" s="162">
        <f t="shared" si="1"/>
        <v>0</v>
      </c>
      <c r="T19" s="167">
        <f t="shared" ref="T19:T39" si="7">R19-S19</f>
        <v>0</v>
      </c>
      <c r="U19" s="229"/>
      <c r="V19" s="181">
        <f t="shared" si="3"/>
        <v>36.75</v>
      </c>
      <c r="W19" s="651"/>
      <c r="X19" s="73"/>
      <c r="Y19" s="125"/>
      <c r="Z19" s="125"/>
      <c r="AA19" s="125"/>
      <c r="AB19" s="125"/>
      <c r="AC19" s="125"/>
    </row>
    <row r="20" spans="1:29" s="74" customFormat="1" ht="15.75" customHeight="1" x14ac:dyDescent="0.2">
      <c r="A20" s="69" t="s">
        <v>8</v>
      </c>
      <c r="B20" s="1661"/>
      <c r="C20" s="1659" t="s">
        <v>331</v>
      </c>
      <c r="D20" s="1659"/>
      <c r="E20" s="1659"/>
      <c r="F20" s="1659"/>
      <c r="G20" s="701" t="str">
        <f>IF(D8="Yes","COUNTY","CITY")</f>
        <v>COUNTY</v>
      </c>
      <c r="H20" s="77" t="s">
        <v>24</v>
      </c>
      <c r="I20" s="155">
        <f>($D$10-SUM($I$16:$I$18))*25%</f>
        <v>-12.5</v>
      </c>
      <c r="J20" s="155" t="e">
        <f>((SUM(I16:I20)*J15)-SUM(J16:J18))*D9</f>
        <v>#VALUE!</v>
      </c>
      <c r="K20" s="162">
        <f t="shared" si="0"/>
        <v>-0.25</v>
      </c>
      <c r="L20" s="167">
        <f t="shared" si="2"/>
        <v>-12.25</v>
      </c>
      <c r="M20" s="164"/>
      <c r="N20" s="1665"/>
      <c r="O20" s="1666"/>
      <c r="P20" s="78"/>
      <c r="Q20" s="72"/>
      <c r="R20" s="155">
        <f>IF($R$42=0,,(($R$15*$D$10)-SUM($R$16:$R$18))*25%)</f>
        <v>0</v>
      </c>
      <c r="S20" s="162">
        <f t="shared" si="1"/>
        <v>0</v>
      </c>
      <c r="T20" s="167">
        <f t="shared" si="7"/>
        <v>0</v>
      </c>
      <c r="U20" s="229"/>
      <c r="V20" s="181">
        <f t="shared" si="3"/>
        <v>12.25</v>
      </c>
      <c r="W20" s="651"/>
      <c r="X20" s="73"/>
      <c r="Y20" s="125"/>
      <c r="Z20" s="125"/>
      <c r="AA20" s="125"/>
      <c r="AB20" s="125"/>
      <c r="AC20" s="125"/>
    </row>
    <row r="21" spans="1:29" s="74" customFormat="1" ht="15.75" customHeight="1" x14ac:dyDescent="0.2">
      <c r="A21" s="69" t="s">
        <v>8</v>
      </c>
      <c r="B21" s="75">
        <v>7</v>
      </c>
      <c r="C21" s="1659" t="s">
        <v>546</v>
      </c>
      <c r="D21" s="1659"/>
      <c r="E21" s="1659"/>
      <c r="F21" s="1659"/>
      <c r="G21" s="694" t="s">
        <v>31</v>
      </c>
      <c r="H21" s="77" t="s">
        <v>26</v>
      </c>
      <c r="I21" s="155">
        <f>$D$11*B21</f>
        <v>140</v>
      </c>
      <c r="J21" s="155">
        <f>$J$15*I21</f>
        <v>328.53333333333336</v>
      </c>
      <c r="K21" s="162">
        <f t="shared" si="0"/>
        <v>2.8000000000000003</v>
      </c>
      <c r="L21" s="167">
        <f t="shared" si="2"/>
        <v>137.19999999999999</v>
      </c>
      <c r="M21" s="164"/>
      <c r="N21" s="1665"/>
      <c r="O21" s="1666"/>
      <c r="P21" s="80"/>
      <c r="Q21" s="81"/>
      <c r="R21" s="155">
        <f t="shared" ref="R21:R33" si="8">IF($R$42=0,,$R$15*I21)</f>
        <v>0</v>
      </c>
      <c r="S21" s="162">
        <f t="shared" si="1"/>
        <v>0</v>
      </c>
      <c r="T21" s="167">
        <f t="shared" si="7"/>
        <v>0</v>
      </c>
      <c r="U21" s="229"/>
      <c r="V21" s="181">
        <f t="shared" si="3"/>
        <v>-137.19999999999999</v>
      </c>
      <c r="W21" s="651"/>
      <c r="X21" s="73"/>
      <c r="Y21" s="125"/>
      <c r="Z21" s="125"/>
      <c r="AA21" s="125"/>
      <c r="AB21" s="125"/>
      <c r="AC21" s="125"/>
    </row>
    <row r="22" spans="1:29" s="74" customFormat="1" ht="15.75" customHeight="1" x14ac:dyDescent="0.2">
      <c r="A22" s="69" t="s">
        <v>8</v>
      </c>
      <c r="B22" s="75">
        <v>3</v>
      </c>
      <c r="C22" s="1659" t="s">
        <v>547</v>
      </c>
      <c r="D22" s="1659"/>
      <c r="E22" s="1659"/>
      <c r="F22" s="1659"/>
      <c r="G22" s="694" t="s">
        <v>32</v>
      </c>
      <c r="H22" s="77" t="s">
        <v>27</v>
      </c>
      <c r="I22" s="155">
        <f t="shared" ref="I22:I32" si="9">$D$11*B22</f>
        <v>60</v>
      </c>
      <c r="J22" s="155">
        <f t="shared" ref="J22:J33" si="10">$J$15*I22</f>
        <v>140.80000000000001</v>
      </c>
      <c r="K22" s="162">
        <f t="shared" si="0"/>
        <v>1.2</v>
      </c>
      <c r="L22" s="167">
        <f t="shared" si="2"/>
        <v>58.8</v>
      </c>
      <c r="M22" s="164"/>
      <c r="N22" s="1665"/>
      <c r="O22" s="1666"/>
      <c r="P22" s="78"/>
      <c r="Q22" s="72"/>
      <c r="R22" s="155">
        <f t="shared" si="8"/>
        <v>0</v>
      </c>
      <c r="S22" s="162">
        <f t="shared" si="1"/>
        <v>0</v>
      </c>
      <c r="T22" s="167">
        <f t="shared" si="7"/>
        <v>0</v>
      </c>
      <c r="U22" s="229"/>
      <c r="V22" s="181">
        <f t="shared" si="3"/>
        <v>-58.8</v>
      </c>
      <c r="W22" s="651"/>
      <c r="X22" s="73"/>
      <c r="Y22" s="125"/>
      <c r="Z22" s="125"/>
      <c r="AA22" s="125"/>
      <c r="AB22" s="125"/>
      <c r="AC22" s="125"/>
    </row>
    <row r="23" spans="1:29" s="74" customFormat="1" ht="15.75" customHeight="1" x14ac:dyDescent="0.2">
      <c r="A23" s="69" t="s">
        <v>8</v>
      </c>
      <c r="B23" s="75">
        <v>1</v>
      </c>
      <c r="C23" s="1665" t="s">
        <v>216</v>
      </c>
      <c r="D23" s="1700"/>
      <c r="E23" s="1700"/>
      <c r="F23" s="1701"/>
      <c r="G23" s="694" t="s">
        <v>32</v>
      </c>
      <c r="H23" s="77" t="s">
        <v>55</v>
      </c>
      <c r="I23" s="155">
        <f t="shared" si="9"/>
        <v>20</v>
      </c>
      <c r="J23" s="155">
        <f t="shared" si="10"/>
        <v>46.933333333333337</v>
      </c>
      <c r="K23" s="162">
        <f t="shared" si="0"/>
        <v>0.4</v>
      </c>
      <c r="L23" s="167">
        <f t="shared" si="2"/>
        <v>19.600000000000001</v>
      </c>
      <c r="M23" s="164"/>
      <c r="N23" s="1665"/>
      <c r="O23" s="1666"/>
      <c r="P23" s="78"/>
      <c r="Q23" s="72"/>
      <c r="R23" s="155">
        <f t="shared" si="8"/>
        <v>0</v>
      </c>
      <c r="S23" s="162">
        <f t="shared" si="1"/>
        <v>0</v>
      </c>
      <c r="T23" s="167">
        <f t="shared" si="7"/>
        <v>0</v>
      </c>
      <c r="U23" s="229"/>
      <c r="V23" s="181">
        <f t="shared" si="3"/>
        <v>-19.600000000000001</v>
      </c>
      <c r="W23" s="651"/>
      <c r="X23" s="82"/>
      <c r="Y23" s="125"/>
      <c r="Z23" s="125"/>
      <c r="AA23" s="125"/>
      <c r="AB23" s="125"/>
      <c r="AC23" s="125"/>
    </row>
    <row r="24" spans="1:29" s="74" customFormat="1" ht="15.75" customHeight="1" x14ac:dyDescent="0.2">
      <c r="A24" s="69" t="s">
        <v>8</v>
      </c>
      <c r="B24" s="75">
        <v>4</v>
      </c>
      <c r="C24" s="1665" t="s">
        <v>466</v>
      </c>
      <c r="D24" s="1700"/>
      <c r="E24" s="1700"/>
      <c r="F24" s="1701"/>
      <c r="G24" s="694" t="s">
        <v>31</v>
      </c>
      <c r="H24" s="77" t="s">
        <v>72</v>
      </c>
      <c r="I24" s="155">
        <f t="shared" si="9"/>
        <v>80</v>
      </c>
      <c r="J24" s="155">
        <f t="shared" si="10"/>
        <v>187.73333333333335</v>
      </c>
      <c r="K24" s="162">
        <f t="shared" si="0"/>
        <v>1.6</v>
      </c>
      <c r="L24" s="167">
        <f t="shared" si="2"/>
        <v>78.400000000000006</v>
      </c>
      <c r="M24" s="164"/>
      <c r="N24" s="1665"/>
      <c r="O24" s="1666"/>
      <c r="P24" s="78"/>
      <c r="Q24" s="72"/>
      <c r="R24" s="155">
        <f t="shared" si="8"/>
        <v>0</v>
      </c>
      <c r="S24" s="162">
        <f t="shared" si="1"/>
        <v>0</v>
      </c>
      <c r="T24" s="167">
        <f t="shared" si="7"/>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659" t="s">
        <v>217</v>
      </c>
      <c r="D25" s="1659"/>
      <c r="E25" s="1739" t="str">
        <f>IF(SUM(B25:B29)=P11,"GC 76000 PA ($" &amp;P11 &amp; " for every 10) breakdown per local board of supervisor resolution (BOS).","ERROR! GC 76000 PA total is not $" &amp;P11&amp; ". Check Court's board resolution.")</f>
        <v>ERROR! GC 76000 PA total is not $5. Check Court's board resolution.</v>
      </c>
      <c r="F25" s="1740"/>
      <c r="G25" s="694" t="s">
        <v>32</v>
      </c>
      <c r="H25" s="77" t="s">
        <v>64</v>
      </c>
      <c r="I25" s="155">
        <f t="shared" si="9"/>
        <v>0</v>
      </c>
      <c r="J25" s="155">
        <f t="shared" si="10"/>
        <v>0</v>
      </c>
      <c r="K25" s="162">
        <f t="shared" si="0"/>
        <v>0</v>
      </c>
      <c r="L25" s="167">
        <f t="shared" si="2"/>
        <v>0</v>
      </c>
      <c r="M25" s="164"/>
      <c r="N25" s="1665"/>
      <c r="O25" s="1666"/>
      <c r="P25" s="78"/>
      <c r="Q25" s="72"/>
      <c r="R25" s="155">
        <f t="shared" si="8"/>
        <v>0</v>
      </c>
      <c r="S25" s="162">
        <f t="shared" si="1"/>
        <v>0</v>
      </c>
      <c r="T25" s="167">
        <f t="shared" si="7"/>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659" t="s">
        <v>218</v>
      </c>
      <c r="D26" s="1659"/>
      <c r="E26" s="1741"/>
      <c r="F26" s="1742"/>
      <c r="G26" s="694" t="s">
        <v>32</v>
      </c>
      <c r="H26" s="77" t="s">
        <v>35</v>
      </c>
      <c r="I26" s="155">
        <f t="shared" si="9"/>
        <v>20</v>
      </c>
      <c r="J26" s="155">
        <f t="shared" si="10"/>
        <v>46.933333333333337</v>
      </c>
      <c r="K26" s="162">
        <f t="shared" si="0"/>
        <v>0.4</v>
      </c>
      <c r="L26" s="167">
        <f t="shared" si="2"/>
        <v>19.600000000000001</v>
      </c>
      <c r="M26" s="164"/>
      <c r="N26" s="1665"/>
      <c r="O26" s="1666"/>
      <c r="P26" s="78"/>
      <c r="Q26" s="72"/>
      <c r="R26" s="155">
        <f t="shared" si="8"/>
        <v>0</v>
      </c>
      <c r="S26" s="162">
        <f t="shared" si="1"/>
        <v>0</v>
      </c>
      <c r="T26" s="167">
        <f t="shared" si="7"/>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659" t="s">
        <v>219</v>
      </c>
      <c r="D27" s="1659"/>
      <c r="E27" s="1741"/>
      <c r="F27" s="1742"/>
      <c r="G27" s="694" t="s">
        <v>32</v>
      </c>
      <c r="H27" s="77" t="s">
        <v>65</v>
      </c>
      <c r="I27" s="155">
        <f t="shared" si="9"/>
        <v>20</v>
      </c>
      <c r="J27" s="155">
        <f t="shared" si="10"/>
        <v>46.933333333333337</v>
      </c>
      <c r="K27" s="162">
        <f t="shared" si="0"/>
        <v>0.4</v>
      </c>
      <c r="L27" s="167">
        <f t="shared" si="2"/>
        <v>19.600000000000001</v>
      </c>
      <c r="M27" s="164"/>
      <c r="N27" s="1665"/>
      <c r="O27" s="1666"/>
      <c r="P27" s="78"/>
      <c r="Q27" s="72"/>
      <c r="R27" s="155">
        <f t="shared" si="8"/>
        <v>0</v>
      </c>
      <c r="S27" s="162">
        <f t="shared" si="1"/>
        <v>0</v>
      </c>
      <c r="T27" s="167">
        <f t="shared" si="7"/>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659" t="s">
        <v>401</v>
      </c>
      <c r="D28" s="1659"/>
      <c r="E28" s="1741"/>
      <c r="F28" s="1742"/>
      <c r="G28" s="694" t="s">
        <v>32</v>
      </c>
      <c r="H28" s="77" t="s">
        <v>65</v>
      </c>
      <c r="I28" s="155">
        <f>$D$11*B28</f>
        <v>10</v>
      </c>
      <c r="J28" s="155">
        <f>$J$15*I28</f>
        <v>23.466666666666669</v>
      </c>
      <c r="K28" s="162">
        <f>IF(A28="Y", I28*2%,0)</f>
        <v>0.2</v>
      </c>
      <c r="L28" s="167">
        <f>I28-K28</f>
        <v>9.8000000000000007</v>
      </c>
      <c r="M28" s="164"/>
      <c r="N28" s="1665"/>
      <c r="O28" s="1666"/>
      <c r="P28" s="78"/>
      <c r="Q28" s="72"/>
      <c r="R28" s="155">
        <f t="shared" si="8"/>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659" t="s">
        <v>254</v>
      </c>
      <c r="D29" s="1659"/>
      <c r="E29" s="1743"/>
      <c r="F29" s="1744"/>
      <c r="G29" s="694" t="s">
        <v>32</v>
      </c>
      <c r="H29" s="77"/>
      <c r="I29" s="155">
        <f t="shared" si="9"/>
        <v>20</v>
      </c>
      <c r="J29" s="155">
        <f t="shared" si="10"/>
        <v>46.933333333333337</v>
      </c>
      <c r="K29" s="162">
        <f t="shared" si="0"/>
        <v>0.4</v>
      </c>
      <c r="L29" s="167">
        <f t="shared" si="2"/>
        <v>19.600000000000001</v>
      </c>
      <c r="M29" s="164"/>
      <c r="N29" s="1665"/>
      <c r="O29" s="1666"/>
      <c r="P29" s="78"/>
      <c r="Q29" s="72"/>
      <c r="R29" s="155">
        <f t="shared" si="8"/>
        <v>0</v>
      </c>
      <c r="S29" s="162">
        <f t="shared" si="1"/>
        <v>0</v>
      </c>
      <c r="T29" s="167">
        <f t="shared" si="7"/>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449" t="s">
        <v>286</v>
      </c>
      <c r="D30" s="1459"/>
      <c r="E30" s="1459"/>
      <c r="F30" s="1460"/>
      <c r="G30" s="702" t="s">
        <v>32</v>
      </c>
      <c r="H30" s="84" t="s">
        <v>36</v>
      </c>
      <c r="I30" s="155">
        <f t="shared" si="9"/>
        <v>40</v>
      </c>
      <c r="J30" s="155">
        <f t="shared" si="10"/>
        <v>93.866666666666674</v>
      </c>
      <c r="K30" s="162">
        <f t="shared" si="0"/>
        <v>0.8</v>
      </c>
      <c r="L30" s="167">
        <f t="shared" si="2"/>
        <v>39.200000000000003</v>
      </c>
      <c r="M30" s="164"/>
      <c r="N30" s="1665"/>
      <c r="O30" s="1666"/>
      <c r="P30" s="78"/>
      <c r="Q30" s="72"/>
      <c r="R30" s="155">
        <f t="shared" si="8"/>
        <v>0</v>
      </c>
      <c r="S30" s="162">
        <f t="shared" si="1"/>
        <v>0</v>
      </c>
      <c r="T30" s="167">
        <f t="shared" si="7"/>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449" t="s">
        <v>555</v>
      </c>
      <c r="D31" s="1459"/>
      <c r="E31" s="1460"/>
      <c r="F31" s="1591" t="s">
        <v>281</v>
      </c>
      <c r="G31" s="702" t="s">
        <v>31</v>
      </c>
      <c r="H31" s="84" t="s">
        <v>37</v>
      </c>
      <c r="I31" s="155">
        <f t="shared" si="9"/>
        <v>40</v>
      </c>
      <c r="J31" s="155">
        <f t="shared" si="10"/>
        <v>93.866666666666674</v>
      </c>
      <c r="K31" s="162">
        <f t="shared" si="0"/>
        <v>0.8</v>
      </c>
      <c r="L31" s="167">
        <f t="shared" si="2"/>
        <v>39.200000000000003</v>
      </c>
      <c r="M31" s="164"/>
      <c r="N31" s="1665"/>
      <c r="O31" s="1666"/>
      <c r="P31" s="78"/>
      <c r="Q31" s="72"/>
      <c r="R31" s="155">
        <f t="shared" si="8"/>
        <v>0</v>
      </c>
      <c r="S31" s="162">
        <f t="shared" si="1"/>
        <v>0</v>
      </c>
      <c r="T31" s="167">
        <f t="shared" si="7"/>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449" t="s">
        <v>556</v>
      </c>
      <c r="D32" s="1459"/>
      <c r="E32" s="1460"/>
      <c r="F32" s="1592"/>
      <c r="G32" s="702" t="s">
        <v>31</v>
      </c>
      <c r="H32" s="84" t="s">
        <v>197</v>
      </c>
      <c r="I32" s="155">
        <f t="shared" si="9"/>
        <v>60</v>
      </c>
      <c r="J32" s="155">
        <f t="shared" si="10"/>
        <v>140.80000000000001</v>
      </c>
      <c r="K32" s="162">
        <f t="shared" si="0"/>
        <v>1.2</v>
      </c>
      <c r="L32" s="167">
        <f t="shared" si="2"/>
        <v>58.8</v>
      </c>
      <c r="M32" s="164"/>
      <c r="N32" s="1665"/>
      <c r="O32" s="1666"/>
      <c r="P32" s="78"/>
      <c r="Q32" s="72"/>
      <c r="R32" s="155">
        <f t="shared" si="8"/>
        <v>0</v>
      </c>
      <c r="S32" s="162">
        <f t="shared" si="1"/>
        <v>0</v>
      </c>
      <c r="T32" s="167">
        <f t="shared" si="7"/>
        <v>0</v>
      </c>
      <c r="U32" s="229"/>
      <c r="V32" s="181">
        <f t="shared" si="3"/>
        <v>-58.8</v>
      </c>
      <c r="W32" s="651"/>
      <c r="X32" s="82"/>
      <c r="Y32" s="125"/>
      <c r="Z32" s="125"/>
      <c r="AA32" s="125"/>
      <c r="AB32" s="125"/>
      <c r="AC32" s="125"/>
    </row>
    <row r="33" spans="1:29" s="85" customFormat="1" ht="15.75" customHeight="1" x14ac:dyDescent="0.2">
      <c r="A33" s="69" t="s">
        <v>7</v>
      </c>
      <c r="B33" s="75"/>
      <c r="C33" s="1449" t="s">
        <v>220</v>
      </c>
      <c r="D33" s="1459"/>
      <c r="E33" s="1459"/>
      <c r="F33" s="1460"/>
      <c r="G33" s="702" t="s">
        <v>31</v>
      </c>
      <c r="H33" s="84" t="s">
        <v>10</v>
      </c>
      <c r="I33" s="155">
        <f>$D$10*20%</f>
        <v>40</v>
      </c>
      <c r="J33" s="155">
        <f t="shared" si="10"/>
        <v>93.866666666666674</v>
      </c>
      <c r="K33" s="162">
        <f t="shared" si="0"/>
        <v>0</v>
      </c>
      <c r="L33" s="167">
        <f t="shared" si="2"/>
        <v>40</v>
      </c>
      <c r="M33" s="164"/>
      <c r="N33" s="1665"/>
      <c r="O33" s="1666"/>
      <c r="P33" s="78"/>
      <c r="Q33" s="72"/>
      <c r="R33" s="155">
        <f t="shared" si="8"/>
        <v>0</v>
      </c>
      <c r="S33" s="162">
        <f t="shared" si="1"/>
        <v>0</v>
      </c>
      <c r="T33" s="167">
        <f t="shared" si="7"/>
        <v>0</v>
      </c>
      <c r="U33" s="229"/>
      <c r="V33" s="181">
        <f t="shared" si="3"/>
        <v>-40</v>
      </c>
      <c r="W33" s="651"/>
      <c r="X33" s="82"/>
      <c r="Y33" s="127"/>
      <c r="Z33" s="127"/>
      <c r="AA33" s="127"/>
      <c r="AB33" s="127"/>
      <c r="AC33" s="127"/>
    </row>
    <row r="34" spans="1:29" s="90" customFormat="1" ht="15.75" customHeight="1" x14ac:dyDescent="0.2">
      <c r="A34" s="69"/>
      <c r="B34" s="86"/>
      <c r="C34" s="1456" t="s">
        <v>221</v>
      </c>
      <c r="D34" s="1694"/>
      <c r="E34" s="1694"/>
      <c r="F34" s="1695"/>
      <c r="G34" s="703"/>
      <c r="H34" s="88"/>
      <c r="I34" s="157">
        <f>SUM(I16:I33)</f>
        <v>750</v>
      </c>
      <c r="J34" s="157">
        <f>J42-SUM(J35:J39)</f>
        <v>1760</v>
      </c>
      <c r="K34" s="162"/>
      <c r="L34" s="168">
        <f>SUM(L16:L33)</f>
        <v>735.80000000000007</v>
      </c>
      <c r="M34" s="165"/>
      <c r="N34" s="1449"/>
      <c r="O34" s="1699"/>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449" t="s">
        <v>419</v>
      </c>
      <c r="D35" s="1459"/>
      <c r="E35" s="1459"/>
      <c r="F35" s="1460"/>
      <c r="G35" s="702" t="s">
        <v>31</v>
      </c>
      <c r="H35" s="91"/>
      <c r="I35" s="204">
        <v>40</v>
      </c>
      <c r="J35" s="155"/>
      <c r="K35" s="162">
        <f>IF(A35="Y", I35*2%,0)</f>
        <v>0</v>
      </c>
      <c r="L35" s="167">
        <f>I35-K35</f>
        <v>40</v>
      </c>
      <c r="M35" s="164"/>
      <c r="N35" s="1665"/>
      <c r="O35" s="1666"/>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446" t="s">
        <v>259</v>
      </c>
      <c r="D36" s="1447"/>
      <c r="E36" s="1447"/>
      <c r="F36" s="1448"/>
      <c r="G36" s="704" t="s">
        <v>31</v>
      </c>
      <c r="H36" s="92" t="s">
        <v>197</v>
      </c>
      <c r="I36" s="204">
        <v>30</v>
      </c>
      <c r="J36" s="155">
        <f t="shared" ref="J36:J39" si="11">I36</f>
        <v>30</v>
      </c>
      <c r="K36" s="162">
        <f t="shared" ref="K36:K39" si="12">IF(A36="Y", I36*2%,0)</f>
        <v>0</v>
      </c>
      <c r="L36" s="167">
        <f>I36-K36</f>
        <v>30</v>
      </c>
      <c r="M36" s="164"/>
      <c r="N36" s="1665"/>
      <c r="O36" s="1666"/>
      <c r="P36" s="78"/>
      <c r="Q36" s="72"/>
      <c r="R36" s="155">
        <f>IF($R$42=0,,I36)</f>
        <v>0</v>
      </c>
      <c r="S36" s="162">
        <f t="shared" ref="S36:S39" si="13">IF(A36="Y", R36*2%,)</f>
        <v>0</v>
      </c>
      <c r="T36" s="167">
        <f t="shared" si="7"/>
        <v>0</v>
      </c>
      <c r="U36" s="229"/>
      <c r="V36" s="181">
        <f>IF($V$15="BASE-UP   (B-A)", P36-L36,P36-T36)</f>
        <v>-30</v>
      </c>
      <c r="W36" s="651"/>
      <c r="X36" s="73"/>
      <c r="Y36" s="127"/>
      <c r="Z36" s="127"/>
      <c r="AA36" s="127"/>
      <c r="AB36" s="127"/>
      <c r="AC36" s="127"/>
    </row>
    <row r="37" spans="1:29" s="74" customFormat="1" ht="15.75" customHeight="1" x14ac:dyDescent="0.2">
      <c r="A37" s="69" t="s">
        <v>8</v>
      </c>
      <c r="B37" s="94"/>
      <c r="C37" s="2081" t="s">
        <v>560</v>
      </c>
      <c r="D37" s="2081"/>
      <c r="E37" s="2081"/>
      <c r="F37" s="2081"/>
      <c r="G37" s="704" t="s">
        <v>31</v>
      </c>
      <c r="H37" s="92"/>
      <c r="I37" s="204">
        <v>150</v>
      </c>
      <c r="J37" s="155">
        <f t="shared" ref="J37:J38" si="14">I37</f>
        <v>150</v>
      </c>
      <c r="K37" s="162">
        <f t="shared" ref="K37:K38" si="15">IF(A37="Y", I37*2%,0)</f>
        <v>3</v>
      </c>
      <c r="L37" s="167">
        <f t="shared" ref="L37:L38" si="16">I37-K37</f>
        <v>147</v>
      </c>
      <c r="M37" s="164"/>
      <c r="N37" s="1665"/>
      <c r="O37" s="1666"/>
      <c r="P37" s="78"/>
      <c r="Q37" s="72"/>
      <c r="R37" s="155">
        <f>IF($R$42=0,,I37)</f>
        <v>0</v>
      </c>
      <c r="S37" s="162">
        <f t="shared" si="13"/>
        <v>0</v>
      </c>
      <c r="T37" s="167">
        <f t="shared" si="7"/>
        <v>0</v>
      </c>
      <c r="U37" s="229"/>
      <c r="V37" s="181">
        <f t="shared" ref="V37:V38" si="17">IF($V$15="BASE-UP   (B-A)", P37-L37,P37-T37)</f>
        <v>-147</v>
      </c>
      <c r="W37" s="651"/>
      <c r="X37" s="77"/>
      <c r="Y37" s="125"/>
      <c r="Z37" s="125"/>
      <c r="AA37" s="125"/>
      <c r="AB37" s="125"/>
      <c r="AC37" s="125"/>
    </row>
    <row r="38" spans="1:29" s="74" customFormat="1" ht="15.75" customHeight="1" x14ac:dyDescent="0.2">
      <c r="A38" s="69" t="s">
        <v>7</v>
      </c>
      <c r="B38" s="94"/>
      <c r="C38" s="1446" t="s">
        <v>454</v>
      </c>
      <c r="D38" s="1447"/>
      <c r="E38" s="1447"/>
      <c r="F38" s="1448"/>
      <c r="G38" s="694" t="s">
        <v>32</v>
      </c>
      <c r="H38" s="92"/>
      <c r="I38" s="204"/>
      <c r="J38" s="155">
        <f t="shared" si="14"/>
        <v>0</v>
      </c>
      <c r="K38" s="162">
        <f t="shared" si="15"/>
        <v>0</v>
      </c>
      <c r="L38" s="167">
        <f t="shared" si="16"/>
        <v>0</v>
      </c>
      <c r="M38" s="164"/>
      <c r="N38" s="1665"/>
      <c r="O38" s="1666"/>
      <c r="P38" s="78"/>
      <c r="Q38" s="72"/>
      <c r="R38" s="155">
        <f>IF($R$42=0,,I38)</f>
        <v>0</v>
      </c>
      <c r="S38" s="162">
        <f t="shared" si="13"/>
        <v>0</v>
      </c>
      <c r="T38" s="167">
        <f t="shared" si="7"/>
        <v>0</v>
      </c>
      <c r="U38" s="229"/>
      <c r="V38" s="181">
        <f t="shared" si="17"/>
        <v>0</v>
      </c>
      <c r="W38" s="651"/>
      <c r="X38" s="77"/>
      <c r="Y38" s="125"/>
      <c r="Z38" s="125"/>
      <c r="AA38" s="125"/>
      <c r="AB38" s="125"/>
      <c r="AC38" s="125"/>
    </row>
    <row r="39" spans="1:29" s="74" customFormat="1" ht="35.25" customHeight="1" x14ac:dyDescent="0.2">
      <c r="A39" s="69" t="s">
        <v>7</v>
      </c>
      <c r="B39" s="94"/>
      <c r="C39" s="1449" t="s">
        <v>520</v>
      </c>
      <c r="D39" s="1459"/>
      <c r="E39" s="1459"/>
      <c r="F39" s="1460"/>
      <c r="G39" s="704" t="s">
        <v>230</v>
      </c>
      <c r="H39" s="92" t="s">
        <v>82</v>
      </c>
      <c r="I39" s="204"/>
      <c r="J39" s="155">
        <f t="shared" si="11"/>
        <v>0</v>
      </c>
      <c r="K39" s="162">
        <f t="shared" si="12"/>
        <v>0</v>
      </c>
      <c r="L39" s="167">
        <f t="shared" si="2"/>
        <v>0</v>
      </c>
      <c r="M39" s="164"/>
      <c r="N39" s="1665"/>
      <c r="O39" s="1666"/>
      <c r="P39" s="78"/>
      <c r="Q39" s="72"/>
      <c r="R39" s="155">
        <f>IF($R$42=0,,I39)</f>
        <v>0</v>
      </c>
      <c r="S39" s="162">
        <f t="shared" si="13"/>
        <v>0</v>
      </c>
      <c r="T39" s="167">
        <f t="shared" si="7"/>
        <v>0</v>
      </c>
      <c r="U39" s="229"/>
      <c r="V39" s="181">
        <f t="shared" si="3"/>
        <v>0</v>
      </c>
      <c r="W39" s="651"/>
      <c r="X39" s="77"/>
      <c r="Y39" s="125"/>
      <c r="Z39" s="125"/>
      <c r="AA39" s="125"/>
      <c r="AB39" s="125"/>
      <c r="AC39" s="125"/>
    </row>
    <row r="40" spans="1:29" s="74" customFormat="1" ht="30.75" customHeight="1" x14ac:dyDescent="0.2">
      <c r="A40" s="93" t="s">
        <v>7</v>
      </c>
      <c r="B40" s="94"/>
      <c r="C40" s="1665" t="s">
        <v>492</v>
      </c>
      <c r="D40" s="1700"/>
      <c r="E40" s="1700"/>
      <c r="F40" s="1701"/>
      <c r="G40" s="705" t="s">
        <v>31</v>
      </c>
      <c r="H40" s="96" t="s">
        <v>41</v>
      </c>
      <c r="I40" s="97"/>
      <c r="J40" s="104"/>
      <c r="K40" s="163"/>
      <c r="L40" s="169">
        <f>K41</f>
        <v>17.200000000000003</v>
      </c>
      <c r="M40" s="164"/>
      <c r="N40" s="1665"/>
      <c r="O40" s="1666"/>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1736" t="s">
        <v>61</v>
      </c>
      <c r="B43" s="1736"/>
      <c r="C43" s="1736"/>
      <c r="D43" s="210"/>
      <c r="E43" s="133"/>
      <c r="F43" s="133"/>
      <c r="J43" s="134"/>
      <c r="L43" s="135"/>
      <c r="M43" s="136"/>
      <c r="Q43" s="137"/>
      <c r="R43" s="137"/>
      <c r="S43" s="137"/>
      <c r="T43" s="137"/>
      <c r="U43" s="137"/>
      <c r="V43" s="138"/>
      <c r="W43" s="138"/>
      <c r="X43" s="139"/>
    </row>
    <row r="44" spans="1:29" s="141" customFormat="1" ht="18" customHeight="1" x14ac:dyDescent="0.2">
      <c r="A44" s="769">
        <v>1</v>
      </c>
      <c r="B44" s="2095"/>
      <c r="C44" s="2096"/>
      <c r="D44" s="2096"/>
      <c r="E44" s="2096"/>
      <c r="F44" s="2096"/>
      <c r="G44" s="2096"/>
      <c r="H44" s="2096"/>
      <c r="I44" s="2096"/>
      <c r="J44" s="2096"/>
      <c r="K44" s="2096"/>
      <c r="L44" s="2096"/>
      <c r="M44" s="2096"/>
      <c r="N44" s="2096"/>
      <c r="O44" s="2096"/>
      <c r="P44" s="2096"/>
      <c r="Q44" s="2096"/>
      <c r="R44" s="2096"/>
      <c r="S44" s="2096"/>
      <c r="T44" s="2096"/>
      <c r="U44" s="2096"/>
      <c r="V44" s="2096"/>
      <c r="W44" s="2096"/>
      <c r="X44" s="2097"/>
    </row>
    <row r="45" spans="1:29" s="141" customFormat="1" ht="18" customHeight="1" x14ac:dyDescent="0.2">
      <c r="A45" s="769">
        <v>2</v>
      </c>
      <c r="B45" s="2095"/>
      <c r="C45" s="2096"/>
      <c r="D45" s="2096"/>
      <c r="E45" s="2096"/>
      <c r="F45" s="2096"/>
      <c r="G45" s="2096"/>
      <c r="H45" s="2096"/>
      <c r="I45" s="2096"/>
      <c r="J45" s="2096"/>
      <c r="K45" s="2096"/>
      <c r="L45" s="2096"/>
      <c r="M45" s="2096"/>
      <c r="N45" s="2096"/>
      <c r="O45" s="2096"/>
      <c r="P45" s="2096"/>
      <c r="Q45" s="2096"/>
      <c r="R45" s="2096"/>
      <c r="S45" s="2096"/>
      <c r="T45" s="2096"/>
      <c r="U45" s="2096"/>
      <c r="V45" s="2096"/>
      <c r="W45" s="2096"/>
      <c r="X45" s="2097"/>
    </row>
    <row r="46" spans="1:29" s="141" customFormat="1" ht="18" customHeight="1" x14ac:dyDescent="0.2">
      <c r="A46" s="769">
        <v>3</v>
      </c>
      <c r="B46" s="2095"/>
      <c r="C46" s="2096"/>
      <c r="D46" s="2096"/>
      <c r="E46" s="2096"/>
      <c r="F46" s="2096"/>
      <c r="G46" s="2096"/>
      <c r="H46" s="2096"/>
      <c r="I46" s="2096"/>
      <c r="J46" s="2096"/>
      <c r="K46" s="2096"/>
      <c r="L46" s="2096"/>
      <c r="M46" s="2096"/>
      <c r="N46" s="2096"/>
      <c r="O46" s="2096"/>
      <c r="P46" s="2096"/>
      <c r="Q46" s="2096"/>
      <c r="R46" s="2096"/>
      <c r="S46" s="2096"/>
      <c r="T46" s="2096"/>
      <c r="U46" s="2096"/>
      <c r="V46" s="2096"/>
      <c r="W46" s="2096"/>
      <c r="X46" s="2097"/>
    </row>
    <row r="47" spans="1:29" s="54" customFormat="1" ht="21" customHeight="1" x14ac:dyDescent="0.2">
      <c r="A47" s="769">
        <v>4</v>
      </c>
      <c r="B47" s="2095"/>
      <c r="C47" s="2096"/>
      <c r="D47" s="2096"/>
      <c r="E47" s="2096"/>
      <c r="F47" s="2096"/>
      <c r="G47" s="2096"/>
      <c r="H47" s="2096"/>
      <c r="I47" s="2096"/>
      <c r="J47" s="2096"/>
      <c r="K47" s="2096"/>
      <c r="L47" s="2096"/>
      <c r="M47" s="2096"/>
      <c r="N47" s="2096"/>
      <c r="O47" s="2096"/>
      <c r="P47" s="2096"/>
      <c r="Q47" s="2096"/>
      <c r="R47" s="2096"/>
      <c r="S47" s="2096"/>
      <c r="T47" s="2096"/>
      <c r="U47" s="2096"/>
      <c r="V47" s="2096"/>
      <c r="W47" s="2096"/>
      <c r="X47" s="2097"/>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formula1>Distribution_Method</formula1>
    </dataValidation>
    <dataValidation type="list" allowBlank="1" showInputMessage="1" showErrorMessage="1" sqref="D8:E8">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669" t="s">
        <v>334</v>
      </c>
      <c r="B1" s="1670"/>
      <c r="C1" s="1670"/>
      <c r="D1" s="1670"/>
      <c r="E1" s="1670"/>
      <c r="F1" s="1670"/>
      <c r="G1" s="1670"/>
      <c r="H1" s="1670"/>
      <c r="I1" s="1670"/>
      <c r="J1" s="1670"/>
      <c r="K1" s="1670"/>
      <c r="L1" s="1667"/>
      <c r="M1" s="1667"/>
      <c r="N1" s="1667"/>
      <c r="O1" s="1667"/>
      <c r="P1" s="1667"/>
      <c r="Q1" s="1667"/>
      <c r="R1" s="1667"/>
      <c r="S1" s="1667"/>
      <c r="T1" s="1667"/>
      <c r="U1" s="1667"/>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1845"/>
      <c r="N3" s="1969"/>
      <c r="O3" s="785"/>
      <c r="P3" s="237"/>
      <c r="Q3" s="1792" t="s">
        <v>261</v>
      </c>
      <c r="R3" s="1793"/>
      <c r="S3" s="1793"/>
      <c r="T3" s="1793"/>
      <c r="U3" s="1793"/>
      <c r="V3" s="1793"/>
      <c r="W3" s="1794"/>
      <c r="Y3" s="174" t="s">
        <v>250</v>
      </c>
      <c r="Z3" s="132"/>
    </row>
    <row r="4" spans="1:28" s="57" customFormat="1" ht="15.75" x14ac:dyDescent="0.2">
      <c r="A4" s="1379" t="s">
        <v>231</v>
      </c>
      <c r="B4" s="1380"/>
      <c r="C4" s="1380"/>
      <c r="D4" s="1335">
        <f>L1</f>
        <v>0</v>
      </c>
      <c r="E4" s="1336"/>
      <c r="F4" s="1332" t="s">
        <v>28</v>
      </c>
      <c r="G4" s="1334"/>
      <c r="H4" s="187"/>
      <c r="I4" s="1939"/>
      <c r="J4" s="1939"/>
      <c r="K4" s="1939"/>
      <c r="L4" s="1940"/>
      <c r="M4" s="1383" t="s">
        <v>257</v>
      </c>
      <c r="N4" s="1383"/>
      <c r="O4" s="209"/>
      <c r="P4" s="238"/>
      <c r="Q4" s="1796" t="s">
        <v>236</v>
      </c>
      <c r="R4" s="1797"/>
      <c r="S4" s="1797"/>
      <c r="T4" s="1797"/>
      <c r="U4" s="1797"/>
      <c r="V4" s="1797"/>
      <c r="W4" s="1798"/>
      <c r="Y4" s="271" t="s">
        <v>308</v>
      </c>
      <c r="Z4" s="269" t="s">
        <v>309</v>
      </c>
      <c r="AA4" s="269" t="s">
        <v>310</v>
      </c>
    </row>
    <row r="5" spans="1:28" s="57" customFormat="1" ht="15.75" x14ac:dyDescent="0.2">
      <c r="A5" s="1384" t="s">
        <v>4</v>
      </c>
      <c r="B5" s="1385"/>
      <c r="C5" s="1385"/>
      <c r="D5" s="1289"/>
      <c r="E5" s="1283"/>
      <c r="F5" s="1291" t="s">
        <v>244</v>
      </c>
      <c r="G5" s="1278"/>
      <c r="H5" s="185"/>
      <c r="I5" s="1935"/>
      <c r="J5" s="1935"/>
      <c r="K5" s="1935"/>
      <c r="L5" s="1936"/>
      <c r="M5" s="1388" t="s">
        <v>22</v>
      </c>
      <c r="N5" s="1388"/>
      <c r="O5" s="58"/>
      <c r="P5" s="238"/>
      <c r="Q5" s="1789" t="s">
        <v>302</v>
      </c>
      <c r="R5" s="1790"/>
      <c r="S5" s="1790"/>
      <c r="T5" s="1790"/>
      <c r="U5" s="1790"/>
      <c r="V5" s="1790"/>
      <c r="W5" s="1791"/>
      <c r="Y5" s="172" t="s">
        <v>31</v>
      </c>
      <c r="Z5" s="176">
        <f>SUMIF($G$16:$G$38,"STATE",$K$16:$K$38)</f>
        <v>90</v>
      </c>
      <c r="AA5" s="176">
        <f>SUMIF($G$16:$G$38,"STATE",$S$16:$S$38)</f>
        <v>0</v>
      </c>
    </row>
    <row r="6" spans="1:28" s="57" customFormat="1" ht="16.5" thickBot="1" x14ac:dyDescent="0.25">
      <c r="A6" s="1384" t="s">
        <v>12</v>
      </c>
      <c r="B6" s="1385"/>
      <c r="C6" s="1385"/>
      <c r="D6" s="1289"/>
      <c r="E6" s="1283"/>
      <c r="F6" s="1291" t="s">
        <v>20</v>
      </c>
      <c r="G6" s="1278"/>
      <c r="H6" s="185"/>
      <c r="I6" s="1935" t="s">
        <v>380</v>
      </c>
      <c r="J6" s="1935"/>
      <c r="K6" s="1935"/>
      <c r="L6" s="1936"/>
      <c r="M6" s="1389" t="s">
        <v>233</v>
      </c>
      <c r="N6" s="1389"/>
      <c r="O6" s="212">
        <f>O4+O5*10</f>
        <v>0</v>
      </c>
      <c r="P6" s="238"/>
      <c r="Q6" s="1786" t="s">
        <v>573</v>
      </c>
      <c r="R6" s="1787"/>
      <c r="S6" s="1787"/>
      <c r="T6" s="1787"/>
      <c r="U6" s="1787"/>
      <c r="V6" s="1787"/>
      <c r="W6" s="1788"/>
      <c r="Y6" s="172" t="s">
        <v>32</v>
      </c>
      <c r="Z6" s="176">
        <f>SUMIF($G$16:$G$38,"COUNTY",$K$16:$K$38)</f>
        <v>0</v>
      </c>
      <c r="AA6" s="176">
        <f>SUMIF($G$16:$G$38,"COUNTY",$S$16:$S$38)</f>
        <v>0</v>
      </c>
    </row>
    <row r="7" spans="1:28" s="57" customFormat="1" ht="16.5" thickBot="1" x14ac:dyDescent="0.25">
      <c r="A7" s="1384" t="s">
        <v>5</v>
      </c>
      <c r="B7" s="1385"/>
      <c r="C7" s="1385"/>
      <c r="D7" s="1282"/>
      <c r="E7" s="1283"/>
      <c r="F7" s="1284" t="s">
        <v>21</v>
      </c>
      <c r="G7" s="1285"/>
      <c r="H7" s="186"/>
      <c r="I7" s="1933" t="s">
        <v>3</v>
      </c>
      <c r="J7" s="1933"/>
      <c r="K7" s="1933"/>
      <c r="L7" s="1948"/>
      <c r="M7" s="235"/>
      <c r="N7" s="242"/>
      <c r="O7" s="236"/>
      <c r="P7" s="238"/>
      <c r="Q7" s="1778" t="s">
        <v>235</v>
      </c>
      <c r="R7" s="1779"/>
      <c r="S7" s="1779"/>
      <c r="T7" s="1779"/>
      <c r="U7" s="1779"/>
      <c r="V7" s="1779"/>
      <c r="W7" s="1780"/>
      <c r="Y7" s="172" t="s">
        <v>52</v>
      </c>
      <c r="Z7" s="176">
        <f>SUMIF($G$16:$G$38,"CITY",$K$16:$K$38)</f>
        <v>0</v>
      </c>
      <c r="AA7" s="176">
        <f>SUMIF($G$16:$G$38,"CITY",$S$16:$S$38)</f>
        <v>0</v>
      </c>
    </row>
    <row r="8" spans="1:28" s="57" customFormat="1" ht="15.75" customHeight="1" x14ac:dyDescent="0.2">
      <c r="A8" s="1386" t="s">
        <v>54</v>
      </c>
      <c r="B8" s="1387"/>
      <c r="C8" s="1387"/>
      <c r="D8" s="2092" t="s">
        <v>342</v>
      </c>
      <c r="E8" s="2093"/>
      <c r="F8" s="1332" t="s">
        <v>253</v>
      </c>
      <c r="G8" s="1334"/>
      <c r="H8" s="187"/>
      <c r="I8" s="1939"/>
      <c r="J8" s="1939"/>
      <c r="K8" s="1939"/>
      <c r="L8" s="1940"/>
      <c r="M8" s="1333" t="s">
        <v>257</v>
      </c>
      <c r="N8" s="1333"/>
      <c r="O8" s="55"/>
      <c r="P8" s="239"/>
      <c r="Q8" s="1772" t="s">
        <v>303</v>
      </c>
      <c r="R8" s="1726"/>
      <c r="S8" s="1726"/>
      <c r="T8" s="1726"/>
      <c r="U8" s="1726"/>
      <c r="V8" s="1726"/>
      <c r="W8" s="1773"/>
      <c r="Y8" s="172" t="s">
        <v>230</v>
      </c>
      <c r="Z8" s="176">
        <f>SUMIF($G$16:$G$38,"COURT",$K$16:$K$38)</f>
        <v>0</v>
      </c>
      <c r="AA8" s="176">
        <f>SUMIF($G$16:$G$38,"COURT",$S$16:$S$38)</f>
        <v>0</v>
      </c>
    </row>
    <row r="9" spans="1:28" s="57" customFormat="1" ht="18" customHeight="1" thickBot="1" x14ac:dyDescent="0.25">
      <c r="A9" s="1693" t="s">
        <v>53</v>
      </c>
      <c r="B9" s="1664"/>
      <c r="C9" s="1664"/>
      <c r="D9" s="1404" t="s">
        <v>342</v>
      </c>
      <c r="E9" s="1405"/>
      <c r="F9" s="1291" t="s">
        <v>244</v>
      </c>
      <c r="G9" s="1278"/>
      <c r="H9" s="185"/>
      <c r="I9" s="1935"/>
      <c r="J9" s="1935"/>
      <c r="K9" s="1935"/>
      <c r="L9" s="1936"/>
      <c r="M9" s="1388" t="s">
        <v>22</v>
      </c>
      <c r="N9" s="1388"/>
      <c r="O9" s="58"/>
      <c r="P9" s="239"/>
      <c r="Q9" s="1774"/>
      <c r="R9" s="1729"/>
      <c r="S9" s="1729"/>
      <c r="T9" s="1729"/>
      <c r="U9" s="1729"/>
      <c r="V9" s="1729"/>
      <c r="W9" s="1775"/>
      <c r="Y9" s="153" t="s">
        <v>446</v>
      </c>
      <c r="Z9" s="176">
        <f>SUMIF($G$16:$G$45,"CNTY or CTY",$L$16:$L$45)</f>
        <v>0</v>
      </c>
      <c r="AA9" s="176">
        <f>SUMIF($G$16:$G$45,"CNTY or CTY",$T$16:$T$45)</f>
        <v>0</v>
      </c>
    </row>
    <row r="10" spans="1:28" s="57" customFormat="1" ht="16.5" customHeight="1" thickBot="1" x14ac:dyDescent="0.25">
      <c r="A10" s="1436" t="s">
        <v>276</v>
      </c>
      <c r="B10" s="1437"/>
      <c r="C10" s="1437"/>
      <c r="D10" s="1651">
        <f>O6+O10</f>
        <v>0</v>
      </c>
      <c r="E10" s="1652"/>
      <c r="F10" s="1291" t="s">
        <v>20</v>
      </c>
      <c r="G10" s="1278"/>
      <c r="H10" s="185"/>
      <c r="I10" s="1935"/>
      <c r="J10" s="1935"/>
      <c r="K10" s="1935"/>
      <c r="L10" s="1936"/>
      <c r="M10" s="1389" t="s">
        <v>233</v>
      </c>
      <c r="N10" s="1389"/>
      <c r="O10" s="212">
        <f>O8+O9*10</f>
        <v>0</v>
      </c>
      <c r="P10" s="240"/>
      <c r="Q10" s="1769" t="s">
        <v>239</v>
      </c>
      <c r="R10" s="1770"/>
      <c r="S10" s="1770"/>
      <c r="T10" s="1770"/>
      <c r="U10" s="1770"/>
      <c r="V10" s="1770"/>
      <c r="W10" s="1771"/>
      <c r="Y10" s="531" t="s">
        <v>246</v>
      </c>
      <c r="Z10" s="148">
        <f>SUM(Z5:Z9)</f>
        <v>90</v>
      </c>
      <c r="AA10" s="148">
        <f>SUM(AA5:AA9)</f>
        <v>0</v>
      </c>
    </row>
    <row r="11" spans="1:28" s="57" customFormat="1" ht="16.5" customHeight="1" thickBot="1" x14ac:dyDescent="0.25">
      <c r="A11" s="1439" t="s">
        <v>277</v>
      </c>
      <c r="B11" s="1440"/>
      <c r="C11" s="1440"/>
      <c r="D11" s="1649">
        <f>ROUNDUP(D10/10,0)</f>
        <v>0</v>
      </c>
      <c r="E11" s="1650"/>
      <c r="F11" s="1284" t="s">
        <v>21</v>
      </c>
      <c r="G11" s="1285"/>
      <c r="H11" s="186"/>
      <c r="I11" s="1933"/>
      <c r="J11" s="1933"/>
      <c r="K11" s="1933"/>
      <c r="L11" s="1948"/>
      <c r="M11" s="1400" t="s">
        <v>568</v>
      </c>
      <c r="N11" s="1401"/>
      <c r="O11" s="780">
        <f>'1-DUI (Reduce Base)'!P11</f>
        <v>5</v>
      </c>
      <c r="P11" s="240"/>
      <c r="Q11" s="1755" t="s">
        <v>430</v>
      </c>
      <c r="R11" s="1756"/>
      <c r="S11" s="1756"/>
      <c r="T11" s="1756"/>
      <c r="U11" s="1756"/>
      <c r="V11" s="1756"/>
      <c r="W11" s="1757"/>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758" t="s">
        <v>297</v>
      </c>
      <c r="J13" s="1759"/>
      <c r="K13" s="1760"/>
      <c r="L13" s="110"/>
      <c r="M13" s="1761" t="s">
        <v>229</v>
      </c>
      <c r="N13" s="1762"/>
      <c r="O13" s="1763"/>
      <c r="P13" s="111"/>
      <c r="Q13" s="1764" t="s">
        <v>295</v>
      </c>
      <c r="R13" s="1765"/>
      <c r="S13" s="1766"/>
      <c r="T13" s="226"/>
      <c r="U13" s="158"/>
      <c r="V13" s="158"/>
      <c r="W13" s="159"/>
      <c r="X13" s="108"/>
      <c r="Y13" s="108"/>
      <c r="Z13" s="108"/>
      <c r="AA13" s="108"/>
      <c r="AB13" s="108"/>
    </row>
    <row r="14" spans="1:28" ht="44.25" customHeight="1" thickBot="1" x14ac:dyDescent="0.25">
      <c r="A14" s="533">
        <v>0.02</v>
      </c>
      <c r="B14" s="533" t="s">
        <v>58</v>
      </c>
      <c r="C14" s="1364" t="s">
        <v>226</v>
      </c>
      <c r="D14" s="1365"/>
      <c r="E14" s="1365"/>
      <c r="F14" s="1366"/>
      <c r="G14" s="537" t="s">
        <v>249</v>
      </c>
      <c r="H14" s="114" t="s">
        <v>0</v>
      </c>
      <c r="I14" s="1805" t="s">
        <v>298</v>
      </c>
      <c r="J14" s="1747" t="s">
        <v>6</v>
      </c>
      <c r="K14" s="536" t="s">
        <v>299</v>
      </c>
      <c r="L14" s="67"/>
      <c r="M14" s="1716" t="s">
        <v>260</v>
      </c>
      <c r="N14" s="1717"/>
      <c r="O14" s="535" t="s">
        <v>248</v>
      </c>
      <c r="P14" s="121"/>
      <c r="Q14" s="690" t="s">
        <v>428</v>
      </c>
      <c r="R14" s="1747" t="s">
        <v>6</v>
      </c>
      <c r="S14" s="536" t="s">
        <v>299</v>
      </c>
      <c r="T14" s="228"/>
      <c r="U14" s="532" t="s">
        <v>256</v>
      </c>
      <c r="V14" s="1749" t="s">
        <v>61</v>
      </c>
      <c r="W14" s="1751" t="s">
        <v>384</v>
      </c>
    </row>
    <row r="15" spans="1:28" ht="30.75" customHeight="1" thickBot="1" x14ac:dyDescent="0.25">
      <c r="A15" s="534"/>
      <c r="B15" s="534"/>
      <c r="C15" s="1367"/>
      <c r="D15" s="1368"/>
      <c r="E15" s="1368"/>
      <c r="F15" s="1369"/>
      <c r="G15" s="538"/>
      <c r="H15" s="538"/>
      <c r="I15" s="1806"/>
      <c r="J15" s="1748"/>
      <c r="K15" s="244" t="s">
        <v>42</v>
      </c>
      <c r="L15" s="68"/>
      <c r="M15" s="1714"/>
      <c r="N15" s="1715"/>
      <c r="O15" s="297" t="s">
        <v>43</v>
      </c>
      <c r="P15" s="121"/>
      <c r="Q15" s="246" t="e">
        <f>Q31/I31</f>
        <v>#DIV/0!</v>
      </c>
      <c r="R15" s="1748"/>
      <c r="S15" s="244" t="s">
        <v>44</v>
      </c>
      <c r="T15" s="228"/>
      <c r="U15" s="298" t="s">
        <v>300</v>
      </c>
      <c r="V15" s="1750"/>
      <c r="W15" s="1752"/>
    </row>
    <row r="16" spans="1:28" s="74" customFormat="1" ht="15.75" customHeight="1" thickTop="1" x14ac:dyDescent="0.2">
      <c r="A16" s="69" t="s">
        <v>8</v>
      </c>
      <c r="B16" s="1972" t="s">
        <v>241</v>
      </c>
      <c r="C16" s="1692" t="s">
        <v>335</v>
      </c>
      <c r="D16" s="1692"/>
      <c r="E16" s="1692"/>
      <c r="F16" s="1692"/>
      <c r="G16" s="701" t="s">
        <v>31</v>
      </c>
      <c r="H16" s="77" t="s">
        <v>337</v>
      </c>
      <c r="I16" s="156">
        <f>$D$10*50%</f>
        <v>0</v>
      </c>
      <c r="J16" s="162">
        <f>IF(A16="Y",I16* 2%,0)</f>
        <v>0</v>
      </c>
      <c r="K16" s="167">
        <f>I16-J16</f>
        <v>0</v>
      </c>
      <c r="L16" s="164"/>
      <c r="M16" s="1665"/>
      <c r="N16" s="1666"/>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1972"/>
      <c r="C17" s="1692" t="s">
        <v>336</v>
      </c>
      <c r="D17" s="1692"/>
      <c r="E17" s="1692"/>
      <c r="F17" s="1692"/>
      <c r="G17" s="701" t="s">
        <v>32</v>
      </c>
      <c r="H17" s="77" t="s">
        <v>338</v>
      </c>
      <c r="I17" s="156">
        <f>$D$10*50%</f>
        <v>0</v>
      </c>
      <c r="J17" s="162">
        <f>IF(A17="Y",I17* 2%,0)</f>
        <v>0</v>
      </c>
      <c r="K17" s="167">
        <f>I17-J17</f>
        <v>0</v>
      </c>
      <c r="L17" s="164"/>
      <c r="M17" s="1665"/>
      <c r="N17" s="1666"/>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659" t="s">
        <v>546</v>
      </c>
      <c r="D18" s="1659"/>
      <c r="E18" s="1659"/>
      <c r="F18" s="1659"/>
      <c r="G18" s="694" t="s">
        <v>31</v>
      </c>
      <c r="H18" s="77" t="s">
        <v>26</v>
      </c>
      <c r="I18" s="155">
        <f>$D$11*B18</f>
        <v>0</v>
      </c>
      <c r="J18" s="162">
        <f t="shared" ref="J18:J30" si="2">IF(A18="Y",I18* 2%,0)</f>
        <v>0</v>
      </c>
      <c r="K18" s="167">
        <f t="shared" ref="K18:K29" si="3">I18-J18</f>
        <v>0</v>
      </c>
      <c r="L18" s="164"/>
      <c r="M18" s="1665"/>
      <c r="N18" s="1666"/>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659" t="s">
        <v>547</v>
      </c>
      <c r="D19" s="1659"/>
      <c r="E19" s="1659"/>
      <c r="F19" s="1659"/>
      <c r="G19" s="694" t="s">
        <v>32</v>
      </c>
      <c r="H19" s="77" t="s">
        <v>27</v>
      </c>
      <c r="I19" s="155">
        <f t="shared" ref="I19:I29" si="6">$D$11*B19</f>
        <v>0</v>
      </c>
      <c r="J19" s="162">
        <f t="shared" si="2"/>
        <v>0</v>
      </c>
      <c r="K19" s="167">
        <f t="shared" si="3"/>
        <v>0</v>
      </c>
      <c r="L19" s="164"/>
      <c r="M19" s="1665"/>
      <c r="N19" s="1666"/>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665" t="s">
        <v>216</v>
      </c>
      <c r="D20" s="1700"/>
      <c r="E20" s="1700"/>
      <c r="F20" s="1701"/>
      <c r="G20" s="694" t="s">
        <v>32</v>
      </c>
      <c r="H20" s="77" t="s">
        <v>55</v>
      </c>
      <c r="I20" s="155">
        <f t="shared" si="6"/>
        <v>0</v>
      </c>
      <c r="J20" s="162">
        <f t="shared" si="2"/>
        <v>0</v>
      </c>
      <c r="K20" s="167">
        <f t="shared" si="3"/>
        <v>0</v>
      </c>
      <c r="L20" s="164"/>
      <c r="M20" s="1665"/>
      <c r="N20" s="1666"/>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665" t="s">
        <v>466</v>
      </c>
      <c r="D21" s="1700"/>
      <c r="E21" s="1700"/>
      <c r="F21" s="1701"/>
      <c r="G21" s="694" t="s">
        <v>31</v>
      </c>
      <c r="H21" s="77" t="s">
        <v>72</v>
      </c>
      <c r="I21" s="155">
        <f t="shared" si="6"/>
        <v>0</v>
      </c>
      <c r="J21" s="162">
        <f t="shared" si="2"/>
        <v>0</v>
      </c>
      <c r="K21" s="167">
        <f t="shared" si="3"/>
        <v>0</v>
      </c>
      <c r="L21" s="164"/>
      <c r="M21" s="1665"/>
      <c r="N21" s="1666"/>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659" t="s">
        <v>217</v>
      </c>
      <c r="D22" s="1659"/>
      <c r="E22" s="1739" t="str">
        <f>IF(SUM(B22:B26)=O11,"GC 76000 PA ($" &amp;O11 &amp; " for every 10) breakdown per local board of supervisor resolution (BOS).","ERROR! GC 76000 PA total is not $" &amp;O11&amp; ". Check Court's board resolution.")</f>
        <v>ERROR! GC 76000 PA total is not $5. Check Court's board resolution.</v>
      </c>
      <c r="F22" s="1740"/>
      <c r="G22" s="694" t="s">
        <v>32</v>
      </c>
      <c r="H22" s="77" t="s">
        <v>64</v>
      </c>
      <c r="I22" s="155">
        <f t="shared" si="6"/>
        <v>0</v>
      </c>
      <c r="J22" s="162">
        <f t="shared" si="2"/>
        <v>0</v>
      </c>
      <c r="K22" s="167">
        <f t="shared" si="3"/>
        <v>0</v>
      </c>
      <c r="L22" s="164"/>
      <c r="M22" s="1665"/>
      <c r="N22" s="1666"/>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659" t="s">
        <v>218</v>
      </c>
      <c r="D23" s="1659"/>
      <c r="E23" s="1741"/>
      <c r="F23" s="1742"/>
      <c r="G23" s="694" t="s">
        <v>32</v>
      </c>
      <c r="H23" s="77" t="s">
        <v>35</v>
      </c>
      <c r="I23" s="155">
        <f t="shared" si="6"/>
        <v>0</v>
      </c>
      <c r="J23" s="162">
        <f t="shared" si="2"/>
        <v>0</v>
      </c>
      <c r="K23" s="167">
        <f t="shared" si="3"/>
        <v>0</v>
      </c>
      <c r="L23" s="164"/>
      <c r="M23" s="1665"/>
      <c r="N23" s="1666"/>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659" t="s">
        <v>219</v>
      </c>
      <c r="D24" s="1659"/>
      <c r="E24" s="1741"/>
      <c r="F24" s="1742"/>
      <c r="G24" s="694" t="s">
        <v>32</v>
      </c>
      <c r="H24" s="77" t="s">
        <v>65</v>
      </c>
      <c r="I24" s="155">
        <f t="shared" si="6"/>
        <v>0</v>
      </c>
      <c r="J24" s="162">
        <f t="shared" si="2"/>
        <v>0</v>
      </c>
      <c r="K24" s="167">
        <f t="shared" si="3"/>
        <v>0</v>
      </c>
      <c r="L24" s="164"/>
      <c r="M24" s="1665"/>
      <c r="N24" s="1666"/>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659" t="s">
        <v>401</v>
      </c>
      <c r="D25" s="1659"/>
      <c r="E25" s="1741"/>
      <c r="F25" s="1742"/>
      <c r="G25" s="694" t="s">
        <v>32</v>
      </c>
      <c r="H25" s="77" t="s">
        <v>65</v>
      </c>
      <c r="I25" s="155">
        <f>$D$11*B25</f>
        <v>0</v>
      </c>
      <c r="J25" s="162">
        <f>IF(A25="Y",I25* 2%,0)</f>
        <v>0</v>
      </c>
      <c r="K25" s="167">
        <f>I25-J25</f>
        <v>0</v>
      </c>
      <c r="L25" s="164"/>
      <c r="M25" s="1665"/>
      <c r="N25" s="1666"/>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659" t="s">
        <v>254</v>
      </c>
      <c r="D26" s="1659"/>
      <c r="E26" s="1743"/>
      <c r="F26" s="1744"/>
      <c r="G26" s="694" t="s">
        <v>32</v>
      </c>
      <c r="H26" s="77"/>
      <c r="I26" s="155">
        <f t="shared" si="6"/>
        <v>0</v>
      </c>
      <c r="J26" s="162">
        <f t="shared" si="2"/>
        <v>0</v>
      </c>
      <c r="K26" s="167">
        <f t="shared" si="3"/>
        <v>0</v>
      </c>
      <c r="L26" s="164"/>
      <c r="M26" s="1665"/>
      <c r="N26" s="1666"/>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449" t="s">
        <v>286</v>
      </c>
      <c r="D27" s="1459"/>
      <c r="E27" s="1459"/>
      <c r="F27" s="1460"/>
      <c r="G27" s="702" t="s">
        <v>32</v>
      </c>
      <c r="H27" s="84" t="s">
        <v>36</v>
      </c>
      <c r="I27" s="155">
        <f t="shared" si="6"/>
        <v>0</v>
      </c>
      <c r="J27" s="162">
        <f t="shared" si="2"/>
        <v>0</v>
      </c>
      <c r="K27" s="167">
        <f t="shared" si="3"/>
        <v>0</v>
      </c>
      <c r="L27" s="164"/>
      <c r="M27" s="1665"/>
      <c r="N27" s="1666"/>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449" t="s">
        <v>555</v>
      </c>
      <c r="D28" s="1459"/>
      <c r="E28" s="1460"/>
      <c r="F28" s="1591" t="s">
        <v>281</v>
      </c>
      <c r="G28" s="702" t="s">
        <v>31</v>
      </c>
      <c r="H28" s="84" t="s">
        <v>37</v>
      </c>
      <c r="I28" s="155">
        <f t="shared" si="6"/>
        <v>0</v>
      </c>
      <c r="J28" s="162">
        <f t="shared" si="2"/>
        <v>0</v>
      </c>
      <c r="K28" s="167">
        <f t="shared" si="3"/>
        <v>0</v>
      </c>
      <c r="L28" s="164"/>
      <c r="M28" s="1665"/>
      <c r="N28" s="1666"/>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449" t="s">
        <v>556</v>
      </c>
      <c r="D29" s="1459"/>
      <c r="E29" s="1460"/>
      <c r="F29" s="1592"/>
      <c r="G29" s="702" t="s">
        <v>31</v>
      </c>
      <c r="H29" s="84" t="s">
        <v>197</v>
      </c>
      <c r="I29" s="155">
        <f t="shared" si="6"/>
        <v>0</v>
      </c>
      <c r="J29" s="162">
        <f t="shared" si="2"/>
        <v>0</v>
      </c>
      <c r="K29" s="167">
        <f t="shared" si="3"/>
        <v>0</v>
      </c>
      <c r="L29" s="164"/>
      <c r="M29" s="1665"/>
      <c r="N29" s="1666"/>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449" t="s">
        <v>220</v>
      </c>
      <c r="D30" s="1459"/>
      <c r="E30" s="1459"/>
      <c r="F30" s="1460"/>
      <c r="G30" s="702" t="s">
        <v>31</v>
      </c>
      <c r="H30" s="84" t="s">
        <v>10</v>
      </c>
      <c r="I30" s="155">
        <f>$D$10*20%</f>
        <v>0</v>
      </c>
      <c r="J30" s="162">
        <f t="shared" si="2"/>
        <v>0</v>
      </c>
      <c r="K30" s="167">
        <f>I30-J30</f>
        <v>0</v>
      </c>
      <c r="L30" s="164"/>
      <c r="M30" s="1665"/>
      <c r="N30" s="1666"/>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456" t="s">
        <v>221</v>
      </c>
      <c r="D31" s="1694"/>
      <c r="E31" s="1694"/>
      <c r="F31" s="1695"/>
      <c r="G31" s="703"/>
      <c r="H31" s="88"/>
      <c r="I31" s="157">
        <f>SUM(I16:I30)</f>
        <v>0</v>
      </c>
      <c r="J31" s="162"/>
      <c r="K31" s="168">
        <f>SUM(K16:K30)</f>
        <v>0</v>
      </c>
      <c r="L31" s="165"/>
      <c r="M31" s="1449"/>
      <c r="N31" s="1699"/>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449" t="s">
        <v>419</v>
      </c>
      <c r="D32" s="1459"/>
      <c r="E32" s="1459"/>
      <c r="F32" s="1460"/>
      <c r="G32" s="702" t="s">
        <v>31</v>
      </c>
      <c r="H32" s="91"/>
      <c r="I32" s="204">
        <v>40</v>
      </c>
      <c r="J32" s="162">
        <f>IF(A32="Y", I32*2%,0)</f>
        <v>0</v>
      </c>
      <c r="K32" s="167">
        <f>I32-J32</f>
        <v>40</v>
      </c>
      <c r="L32" s="164"/>
      <c r="M32" s="1665"/>
      <c r="N32" s="1666"/>
      <c r="O32" s="78"/>
      <c r="P32" s="72"/>
      <c r="Q32" s="155">
        <f t="shared" ref="Q32:Q37" si="7">IF($Q$40=0,,I32)</f>
        <v>0</v>
      </c>
      <c r="R32" s="162">
        <f>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446" t="s">
        <v>259</v>
      </c>
      <c r="D33" s="1447"/>
      <c r="E33" s="1447"/>
      <c r="F33" s="1448"/>
      <c r="G33" s="704" t="s">
        <v>31</v>
      </c>
      <c r="H33" s="92" t="s">
        <v>197</v>
      </c>
      <c r="I33" s="204">
        <v>35</v>
      </c>
      <c r="J33" s="162">
        <f t="shared" ref="J33:J37" si="8">IF(A33="Y", I33*2%,0)</f>
        <v>0</v>
      </c>
      <c r="K33" s="167">
        <f t="shared" ref="K33:K37" si="9">I33-J33</f>
        <v>35</v>
      </c>
      <c r="L33" s="164"/>
      <c r="M33" s="1665"/>
      <c r="N33" s="1666"/>
      <c r="O33" s="78"/>
      <c r="P33" s="72"/>
      <c r="Q33" s="155">
        <f t="shared" si="7"/>
        <v>0</v>
      </c>
      <c r="R33" s="162">
        <f t="shared" ref="R33:R37" si="10">IF(A33="Y", Q33*2%,)</f>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446" t="s">
        <v>497</v>
      </c>
      <c r="D34" s="1447"/>
      <c r="E34" s="1447"/>
      <c r="F34" s="1448"/>
      <c r="G34" s="704" t="s">
        <v>31</v>
      </c>
      <c r="H34" s="92" t="s">
        <v>337</v>
      </c>
      <c r="I34" s="204">
        <v>15</v>
      </c>
      <c r="J34" s="162">
        <f t="shared" si="8"/>
        <v>0.3</v>
      </c>
      <c r="K34" s="167">
        <f t="shared" si="9"/>
        <v>14.7</v>
      </c>
      <c r="L34" s="164"/>
      <c r="M34" s="1665"/>
      <c r="N34" s="1666"/>
      <c r="O34" s="78"/>
      <c r="P34" s="72"/>
      <c r="Q34" s="155">
        <f t="shared" si="7"/>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2081" t="s">
        <v>560</v>
      </c>
      <c r="D35" s="2081"/>
      <c r="E35" s="2081"/>
      <c r="F35" s="2081"/>
      <c r="G35" s="704" t="s">
        <v>31</v>
      </c>
      <c r="H35" s="92" t="s">
        <v>13</v>
      </c>
      <c r="I35" s="204">
        <v>0</v>
      </c>
      <c r="J35" s="162">
        <f t="shared" si="8"/>
        <v>0</v>
      </c>
      <c r="K35" s="167">
        <f t="shared" si="9"/>
        <v>0</v>
      </c>
      <c r="L35" s="164"/>
      <c r="M35" s="1665"/>
      <c r="N35" s="1666"/>
      <c r="O35" s="78"/>
      <c r="P35" s="72"/>
      <c r="Q35" s="155">
        <f t="shared" si="7"/>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446" t="s">
        <v>454</v>
      </c>
      <c r="D36" s="1447"/>
      <c r="E36" s="1447"/>
      <c r="F36" s="1448"/>
      <c r="G36" s="704" t="s">
        <v>32</v>
      </c>
      <c r="H36" s="92" t="s">
        <v>27</v>
      </c>
      <c r="I36" s="204"/>
      <c r="J36" s="162">
        <f t="shared" si="8"/>
        <v>0</v>
      </c>
      <c r="K36" s="167">
        <f t="shared" si="9"/>
        <v>0</v>
      </c>
      <c r="L36" s="164"/>
      <c r="M36" s="1665"/>
      <c r="N36" s="1666"/>
      <c r="O36" s="78"/>
      <c r="P36" s="72"/>
      <c r="Q36" s="155">
        <f t="shared" si="7"/>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449" t="s">
        <v>520</v>
      </c>
      <c r="D37" s="1459"/>
      <c r="E37" s="1459"/>
      <c r="F37" s="1460"/>
      <c r="G37" s="704" t="s">
        <v>230</v>
      </c>
      <c r="H37" s="92" t="s">
        <v>82</v>
      </c>
      <c r="I37" s="204"/>
      <c r="J37" s="162">
        <f t="shared" si="8"/>
        <v>0</v>
      </c>
      <c r="K37" s="167">
        <f t="shared" si="9"/>
        <v>0</v>
      </c>
      <c r="L37" s="164"/>
      <c r="M37" s="1665"/>
      <c r="N37" s="1666"/>
      <c r="O37" s="78"/>
      <c r="P37" s="72"/>
      <c r="Q37" s="155">
        <f t="shared" si="7"/>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665" t="s">
        <v>492</v>
      </c>
      <c r="D38" s="1700"/>
      <c r="E38" s="1700"/>
      <c r="F38" s="1701"/>
      <c r="G38" s="705" t="s">
        <v>31</v>
      </c>
      <c r="H38" s="96" t="s">
        <v>41</v>
      </c>
      <c r="I38" s="97"/>
      <c r="J38" s="163"/>
      <c r="K38" s="169">
        <f>J39</f>
        <v>0.3</v>
      </c>
      <c r="L38" s="164"/>
      <c r="M38" s="1665"/>
      <c r="N38" s="1666"/>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1736" t="s">
        <v>61</v>
      </c>
      <c r="B41" s="1736"/>
      <c r="C41" s="1736"/>
      <c r="D41" s="210"/>
      <c r="E41" s="133"/>
      <c r="F41" s="133"/>
      <c r="K41" s="135"/>
      <c r="L41" s="136"/>
      <c r="P41" s="137"/>
      <c r="Q41" s="137"/>
      <c r="R41" s="137"/>
      <c r="S41" s="137"/>
      <c r="T41" s="137"/>
      <c r="U41" s="138"/>
      <c r="V41" s="138"/>
      <c r="W41" s="139"/>
    </row>
    <row r="42" spans="1:28" s="141" customFormat="1" ht="18" customHeight="1" x14ac:dyDescent="0.2">
      <c r="A42" s="769">
        <v>1</v>
      </c>
      <c r="B42" s="2095"/>
      <c r="C42" s="2096"/>
      <c r="D42" s="2096"/>
      <c r="E42" s="2096"/>
      <c r="F42" s="2096"/>
      <c r="G42" s="2096"/>
      <c r="H42" s="2096"/>
      <c r="I42" s="2096"/>
      <c r="J42" s="2096"/>
      <c r="K42" s="2096"/>
      <c r="L42" s="2096"/>
      <c r="M42" s="2096"/>
      <c r="N42" s="2096"/>
      <c r="O42" s="2096"/>
      <c r="P42" s="2096"/>
      <c r="Q42" s="2096"/>
      <c r="R42" s="2096"/>
      <c r="S42" s="2096"/>
      <c r="T42" s="2096"/>
      <c r="U42" s="2096"/>
      <c r="V42" s="2096"/>
      <c r="W42" s="2097"/>
    </row>
    <row r="43" spans="1:28" s="141" customFormat="1" ht="18" customHeight="1" x14ac:dyDescent="0.2">
      <c r="A43" s="769">
        <v>2</v>
      </c>
      <c r="B43" s="2095"/>
      <c r="C43" s="2096"/>
      <c r="D43" s="2096"/>
      <c r="E43" s="2096"/>
      <c r="F43" s="2096"/>
      <c r="G43" s="2096"/>
      <c r="H43" s="2096"/>
      <c r="I43" s="2096"/>
      <c r="J43" s="2096"/>
      <c r="K43" s="2096"/>
      <c r="L43" s="2096"/>
      <c r="M43" s="2096"/>
      <c r="N43" s="2096"/>
      <c r="O43" s="2096"/>
      <c r="P43" s="2096"/>
      <c r="Q43" s="2096"/>
      <c r="R43" s="2096"/>
      <c r="S43" s="2096"/>
      <c r="T43" s="2096"/>
      <c r="U43" s="2096"/>
      <c r="V43" s="2096"/>
      <c r="W43" s="2097"/>
    </row>
    <row r="44" spans="1:28" s="141" customFormat="1" ht="18" customHeight="1" x14ac:dyDescent="0.2">
      <c r="A44" s="769">
        <v>3</v>
      </c>
      <c r="B44" s="2095"/>
      <c r="C44" s="2096"/>
      <c r="D44" s="2096"/>
      <c r="E44" s="2096"/>
      <c r="F44" s="2096"/>
      <c r="G44" s="2096"/>
      <c r="H44" s="2096"/>
      <c r="I44" s="2096"/>
      <c r="J44" s="2096"/>
      <c r="K44" s="2096"/>
      <c r="L44" s="2096"/>
      <c r="M44" s="2096"/>
      <c r="N44" s="2096"/>
      <c r="O44" s="2096"/>
      <c r="P44" s="2096"/>
      <c r="Q44" s="2096"/>
      <c r="R44" s="2096"/>
      <c r="S44" s="2096"/>
      <c r="T44" s="2096"/>
      <c r="U44" s="2096"/>
      <c r="V44" s="2096"/>
      <c r="W44" s="2097"/>
    </row>
    <row r="45" spans="1:28" s="54" customFormat="1" ht="23.25" customHeight="1" x14ac:dyDescent="0.2">
      <c r="A45" s="769">
        <v>4</v>
      </c>
      <c r="B45" s="2095"/>
      <c r="C45" s="2096"/>
      <c r="D45" s="2096"/>
      <c r="E45" s="2096"/>
      <c r="F45" s="2096"/>
      <c r="G45" s="2096"/>
      <c r="H45" s="2096"/>
      <c r="I45" s="2096"/>
      <c r="J45" s="2096"/>
      <c r="K45" s="2096"/>
      <c r="L45" s="2096"/>
      <c r="M45" s="2096"/>
      <c r="N45" s="2096"/>
      <c r="O45" s="2096"/>
      <c r="P45" s="2096"/>
      <c r="Q45" s="2096"/>
      <c r="R45" s="2096"/>
      <c r="S45" s="2096"/>
      <c r="T45" s="2096"/>
      <c r="U45" s="2096"/>
      <c r="V45" s="2096"/>
      <c r="W45" s="2097"/>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 ref="D5:E5"/>
    <mergeCell ref="F5:G5"/>
    <mergeCell ref="Q7:W7"/>
    <mergeCell ref="A8:C8"/>
    <mergeCell ref="D8:E8"/>
    <mergeCell ref="F8:G8"/>
    <mergeCell ref="I8:L8"/>
    <mergeCell ref="M8:N8"/>
    <mergeCell ref="Q8:W9"/>
    <mergeCell ref="A9:C9"/>
    <mergeCell ref="D9:E9"/>
    <mergeCell ref="F9:G9"/>
    <mergeCell ref="I9:L9"/>
    <mergeCell ref="M9:N9"/>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B16:B17"/>
    <mergeCell ref="C16:F16"/>
    <mergeCell ref="M16:N16"/>
    <mergeCell ref="C17:F17"/>
    <mergeCell ref="M17:N17"/>
    <mergeCell ref="C14:F15"/>
    <mergeCell ref="I14:I15"/>
    <mergeCell ref="J14:J15"/>
    <mergeCell ref="M14:N14"/>
    <mergeCell ref="C18:F18"/>
    <mergeCell ref="M18:N18"/>
    <mergeCell ref="C19:F19"/>
    <mergeCell ref="M19:N19"/>
    <mergeCell ref="C20:F20"/>
    <mergeCell ref="M20:N20"/>
    <mergeCell ref="M26:N26"/>
    <mergeCell ref="C27:F27"/>
    <mergeCell ref="M27:N27"/>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formula1>Distribution_Method</formula1>
    </dataValidation>
  </dataValidations>
  <printOptions horizontalCentered="1"/>
  <pageMargins left="0.25" right="0.25" top="0.75" bottom="0.5" header="0.25" footer="0.25"/>
  <pageSetup scale="68"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260" t="s">
        <v>481</v>
      </c>
      <c r="B1" s="1260"/>
      <c r="C1" s="1260"/>
      <c r="D1" s="1260"/>
      <c r="E1" s="1260"/>
      <c r="F1" s="1260"/>
      <c r="G1" s="1260"/>
      <c r="H1" s="1260"/>
    </row>
    <row r="2" spans="1:8" s="3" customFormat="1" x14ac:dyDescent="0.2">
      <c r="A2" s="46" t="s">
        <v>426</v>
      </c>
      <c r="B2" s="45"/>
      <c r="C2" s="45"/>
      <c r="D2" s="45"/>
      <c r="E2" s="45"/>
      <c r="F2" s="45"/>
      <c r="G2" s="45"/>
      <c r="H2" s="5"/>
    </row>
    <row r="3" spans="1:8" s="3" customFormat="1" x14ac:dyDescent="0.2">
      <c r="A3" s="775" t="s">
        <v>173</v>
      </c>
      <c r="B3" s="775" t="s">
        <v>9</v>
      </c>
      <c r="C3" s="775" t="s">
        <v>176</v>
      </c>
      <c r="D3" s="1261" t="s">
        <v>477</v>
      </c>
      <c r="E3" s="1261"/>
      <c r="F3" s="1261"/>
      <c r="G3" s="775" t="s">
        <v>210</v>
      </c>
      <c r="H3" s="775" t="s">
        <v>460</v>
      </c>
    </row>
    <row r="4" spans="1:8" s="3" customFormat="1" x14ac:dyDescent="0.2">
      <c r="A4" s="1262" t="s">
        <v>423</v>
      </c>
      <c r="B4" s="1262" t="s">
        <v>424</v>
      </c>
      <c r="C4" s="1263" t="s">
        <v>464</v>
      </c>
      <c r="D4" s="678"/>
      <c r="E4" s="680" t="s">
        <v>11</v>
      </c>
      <c r="F4" s="680" t="s">
        <v>425</v>
      </c>
      <c r="G4" s="1266" t="s">
        <v>51</v>
      </c>
      <c r="H4" s="1266"/>
    </row>
    <row r="5" spans="1:8" s="3" customFormat="1" x14ac:dyDescent="0.2">
      <c r="A5" s="1262"/>
      <c r="B5" s="1262"/>
      <c r="C5" s="1264"/>
      <c r="D5" s="650" t="s">
        <v>459</v>
      </c>
      <c r="E5" s="681">
        <v>100</v>
      </c>
      <c r="F5" s="681">
        <v>200</v>
      </c>
      <c r="G5" s="1266"/>
      <c r="H5" s="1266"/>
    </row>
    <row r="6" spans="1:8" s="3" customFormat="1" x14ac:dyDescent="0.2">
      <c r="A6" s="1262"/>
      <c r="B6" s="1262"/>
      <c r="C6" s="1264"/>
      <c r="D6" s="679">
        <v>40909</v>
      </c>
      <c r="E6" s="681">
        <v>120</v>
      </c>
      <c r="F6" s="681">
        <v>240</v>
      </c>
      <c r="G6" s="1266"/>
      <c r="H6" s="1266"/>
    </row>
    <row r="7" spans="1:8" s="3" customFormat="1" x14ac:dyDescent="0.2">
      <c r="A7" s="1262"/>
      <c r="B7" s="1262"/>
      <c r="C7" s="1264"/>
      <c r="D7" s="776">
        <v>41275</v>
      </c>
      <c r="E7" s="777">
        <v>140</v>
      </c>
      <c r="F7" s="777">
        <v>280</v>
      </c>
      <c r="G7" s="1266"/>
      <c r="H7" s="1266"/>
    </row>
    <row r="8" spans="1:8" s="3" customFormat="1" x14ac:dyDescent="0.2">
      <c r="A8" s="1262"/>
      <c r="B8" s="1262"/>
      <c r="C8" s="1265"/>
      <c r="D8" s="728">
        <v>41640</v>
      </c>
      <c r="E8" s="729">
        <v>150</v>
      </c>
      <c r="F8" s="729">
        <v>300</v>
      </c>
      <c r="G8" s="1266"/>
      <c r="H8" s="1266"/>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260" t="s">
        <v>481</v>
      </c>
      <c r="B2" s="1260"/>
      <c r="C2" s="1260"/>
      <c r="D2" s="1260"/>
      <c r="E2" s="1260"/>
      <c r="F2" s="1260"/>
      <c r="G2" s="1260"/>
      <c r="H2" s="1260"/>
    </row>
    <row r="3" spans="1:8" x14ac:dyDescent="0.2">
      <c r="A3" s="46" t="s">
        <v>426</v>
      </c>
      <c r="B3" s="45"/>
      <c r="C3" s="45"/>
      <c r="D3" s="45"/>
      <c r="E3" s="45"/>
      <c r="F3" s="45"/>
      <c r="G3" s="45"/>
      <c r="H3" s="5"/>
    </row>
    <row r="4" spans="1:8" x14ac:dyDescent="0.2">
      <c r="A4" s="716" t="s">
        <v>173</v>
      </c>
      <c r="B4" s="716" t="s">
        <v>9</v>
      </c>
      <c r="C4" s="716" t="s">
        <v>176</v>
      </c>
      <c r="D4" s="1261" t="s">
        <v>477</v>
      </c>
      <c r="E4" s="1261"/>
      <c r="F4" s="1261"/>
      <c r="G4" s="716" t="s">
        <v>210</v>
      </c>
      <c r="H4" s="716" t="s">
        <v>460</v>
      </c>
    </row>
    <row r="5" spans="1:8" x14ac:dyDescent="0.2">
      <c r="A5" s="1262" t="s">
        <v>423</v>
      </c>
      <c r="B5" s="1262" t="s">
        <v>424</v>
      </c>
      <c r="C5" s="1263" t="s">
        <v>464</v>
      </c>
      <c r="D5" s="678"/>
      <c r="E5" s="680" t="s">
        <v>11</v>
      </c>
      <c r="F5" s="680" t="s">
        <v>425</v>
      </c>
      <c r="G5" s="1266" t="s">
        <v>51</v>
      </c>
      <c r="H5" s="1266"/>
    </row>
    <row r="6" spans="1:8" x14ac:dyDescent="0.2">
      <c r="A6" s="1262"/>
      <c r="B6" s="1262"/>
      <c r="C6" s="1264"/>
      <c r="D6" s="650" t="s">
        <v>459</v>
      </c>
      <c r="E6" s="681">
        <v>100</v>
      </c>
      <c r="F6" s="681">
        <v>200</v>
      </c>
      <c r="G6" s="1266"/>
      <c r="H6" s="1266"/>
    </row>
    <row r="7" spans="1:8" x14ac:dyDescent="0.2">
      <c r="A7" s="1262"/>
      <c r="B7" s="1262"/>
      <c r="C7" s="1264"/>
      <c r="D7" s="679">
        <v>40909</v>
      </c>
      <c r="E7" s="681">
        <v>120</v>
      </c>
      <c r="F7" s="681">
        <v>240</v>
      </c>
      <c r="G7" s="1266"/>
      <c r="H7" s="1266"/>
    </row>
    <row r="8" spans="1:8" x14ac:dyDescent="0.2">
      <c r="A8" s="1262"/>
      <c r="B8" s="1262"/>
      <c r="C8" s="1264"/>
      <c r="D8" s="728">
        <v>41275</v>
      </c>
      <c r="E8" s="729">
        <v>140</v>
      </c>
      <c r="F8" s="729">
        <v>280</v>
      </c>
      <c r="G8" s="1266"/>
      <c r="H8" s="1266"/>
    </row>
    <row r="9" spans="1:8" x14ac:dyDescent="0.2">
      <c r="A9" s="1262"/>
      <c r="B9" s="1262"/>
      <c r="C9" s="1265"/>
      <c r="D9" s="679">
        <v>41640</v>
      </c>
      <c r="E9" s="681">
        <v>150</v>
      </c>
      <c r="F9" s="681">
        <v>300</v>
      </c>
      <c r="G9" s="1266"/>
      <c r="H9" s="1266"/>
    </row>
    <row r="11" spans="1:8" ht="18" x14ac:dyDescent="0.2">
      <c r="A11" s="1260" t="s">
        <v>480</v>
      </c>
      <c r="B11" s="1260"/>
      <c r="C11" s="1260"/>
      <c r="D11" s="1260"/>
      <c r="E11" s="1260"/>
      <c r="F11" s="1260"/>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267" t="s">
        <v>552</v>
      </c>
      <c r="B16" s="1267"/>
      <c r="C16" s="1267"/>
      <c r="D16" s="1267"/>
      <c r="E16" s="1267"/>
      <c r="F16" s="1267"/>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260" t="s">
        <v>463</v>
      </c>
      <c r="B21" s="1260"/>
      <c r="C21" s="1260"/>
      <c r="D21" s="1260"/>
      <c r="E21" s="1260"/>
      <c r="F21" s="1260"/>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260" t="s">
        <v>450</v>
      </c>
      <c r="B1" s="1260"/>
      <c r="C1" s="1260"/>
      <c r="D1" s="1260"/>
      <c r="E1" s="1260"/>
      <c r="F1" s="1260"/>
      <c r="G1" s="1260"/>
      <c r="H1" s="1260"/>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261" t="s">
        <v>177</v>
      </c>
      <c r="E4" s="1261"/>
      <c r="F4" s="1261"/>
      <c r="G4" s="42" t="s">
        <v>210</v>
      </c>
      <c r="H4" s="710" t="s">
        <v>460</v>
      </c>
      <c r="I4" s="699"/>
    </row>
    <row r="5" spans="1:9" x14ac:dyDescent="0.2">
      <c r="A5" s="1262" t="s">
        <v>423</v>
      </c>
      <c r="B5" s="1262" t="s">
        <v>424</v>
      </c>
      <c r="C5" s="1263" t="s">
        <v>464</v>
      </c>
      <c r="D5" s="678"/>
      <c r="E5" s="680" t="s">
        <v>11</v>
      </c>
      <c r="F5" s="680" t="s">
        <v>425</v>
      </c>
      <c r="G5" s="1266" t="s">
        <v>51</v>
      </c>
      <c r="H5" s="1266"/>
      <c r="I5" s="711"/>
    </row>
    <row r="6" spans="1:9" x14ac:dyDescent="0.2">
      <c r="A6" s="1262"/>
      <c r="B6" s="1262"/>
      <c r="C6" s="1264"/>
      <c r="D6" s="650" t="s">
        <v>459</v>
      </c>
      <c r="E6" s="681">
        <v>100</v>
      </c>
      <c r="F6" s="681">
        <v>200</v>
      </c>
      <c r="G6" s="1266"/>
      <c r="H6" s="1266"/>
      <c r="I6" s="712"/>
    </row>
    <row r="7" spans="1:9" x14ac:dyDescent="0.2">
      <c r="A7" s="1262"/>
      <c r="B7" s="1262"/>
      <c r="C7" s="1264"/>
      <c r="D7" s="728">
        <v>40909</v>
      </c>
      <c r="E7" s="729">
        <v>120</v>
      </c>
      <c r="F7" s="729">
        <v>240</v>
      </c>
      <c r="G7" s="1266"/>
      <c r="H7" s="1266"/>
      <c r="I7" s="712"/>
    </row>
    <row r="8" spans="1:9" x14ac:dyDescent="0.2">
      <c r="A8" s="1262"/>
      <c r="B8" s="1262"/>
      <c r="C8" s="1264"/>
      <c r="D8" s="679">
        <v>41275</v>
      </c>
      <c r="E8" s="681">
        <v>140</v>
      </c>
      <c r="F8" s="681">
        <v>280</v>
      </c>
      <c r="G8" s="1266"/>
      <c r="H8" s="1266"/>
      <c r="I8" s="712"/>
    </row>
    <row r="9" spans="1:9" x14ac:dyDescent="0.2">
      <c r="A9" s="1262"/>
      <c r="B9" s="1262"/>
      <c r="C9" s="1265"/>
      <c r="D9" s="679">
        <v>41640</v>
      </c>
      <c r="E9" s="681">
        <v>150</v>
      </c>
      <c r="F9" s="681">
        <v>300</v>
      </c>
      <c r="G9" s="1266"/>
      <c r="H9" s="1266"/>
      <c r="I9" s="712"/>
    </row>
    <row r="10" spans="1:9" x14ac:dyDescent="0.2">
      <c r="H10" s="699"/>
      <c r="I10" s="699"/>
    </row>
    <row r="11" spans="1:9" x14ac:dyDescent="0.2">
      <c r="H11" s="699"/>
      <c r="I11" s="699"/>
    </row>
    <row r="12" spans="1:9" s="43" customFormat="1" ht="18" x14ac:dyDescent="0.2">
      <c r="A12" s="1260" t="s">
        <v>451</v>
      </c>
      <c r="B12" s="1260"/>
      <c r="C12" s="1260"/>
      <c r="D12" s="1260"/>
      <c r="E12" s="1260"/>
      <c r="F12" s="1260"/>
      <c r="G12" s="1260"/>
      <c r="H12" s="1260"/>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261" t="s">
        <v>177</v>
      </c>
      <c r="E15" s="1261"/>
      <c r="F15" s="1261"/>
      <c r="G15" s="42" t="s">
        <v>210</v>
      </c>
      <c r="H15" s="710" t="s">
        <v>460</v>
      </c>
    </row>
    <row r="16" spans="1:9" ht="38.25" x14ac:dyDescent="0.2">
      <c r="A16" s="41" t="s">
        <v>457</v>
      </c>
      <c r="B16" s="41" t="s">
        <v>34</v>
      </c>
      <c r="C16" s="737" t="s">
        <v>483</v>
      </c>
      <c r="D16" s="1268" t="s">
        <v>482</v>
      </c>
      <c r="E16" s="1269"/>
      <c r="F16" s="1270"/>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260" t="s">
        <v>463</v>
      </c>
      <c r="B7" s="1260"/>
      <c r="C7" s="1260"/>
      <c r="D7" s="1260"/>
      <c r="E7" s="1260"/>
      <c r="F7" s="1260"/>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271" t="s">
        <v>461</v>
      </c>
      <c r="B14" s="1271"/>
      <c r="C14" s="1271"/>
      <c r="D14" s="1271"/>
      <c r="E14" s="1271"/>
      <c r="F14" s="1271"/>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34</vt:i4>
      </vt:variant>
    </vt:vector>
  </HeadingPairs>
  <TitlesOfParts>
    <vt:vector size="75"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 1 Special Base Fine Dist. </vt:lpstr>
      <vt:lpstr>2 Base Enhancement Dist.</vt:lpstr>
      <vt:lpstr>  3 Regular TVS Dist.</vt:lpstr>
      <vt:lpstr>4 Bail Forfeiture Dist.</vt:lpstr>
      <vt:lpstr>TEST SUMMARY</vt:lpstr>
      <vt:lpstr>Sheet1</vt:lpstr>
      <vt:lpstr>Section</vt:lpstr>
      <vt:lpstr>Acct Mapping</vt:lpstr>
      <vt:lpstr>Pmt Plan Tmpl</vt:lpstr>
      <vt:lpstr>1-DUI (ALT)</vt:lpstr>
      <vt:lpstr>1-DUI (Reduce Base)</vt:lpstr>
      <vt:lpstr>3-RD (Reduce Base)</vt:lpstr>
      <vt:lpstr>4-RRBF</vt:lpstr>
      <vt:lpstr>5-RRTS (BF &amp; No 2%)</vt:lpstr>
      <vt:lpstr>5 Special TVS Dist. </vt:lpstr>
      <vt:lpstr>6  Multiple Violations Dist. </vt:lpstr>
      <vt:lpstr>Top Down Method 1</vt:lpstr>
      <vt:lpstr>Top Down Method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  3 Regular TVS Dist.'!Print_Area</vt:lpstr>
      <vt:lpstr>' 1 Special Base Fine Dist. '!Print_Area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Base Enhancement Dist.'!Print_Area</vt:lpstr>
      <vt:lpstr>'3-RD (Reduce Base)'!Print_Area</vt:lpstr>
      <vt:lpstr>'4 Bail Forfeiture Dist.'!Print_Area</vt:lpstr>
      <vt:lpstr>'4-RRBF'!Print_Area</vt:lpstr>
      <vt:lpstr>'5 Special TVS Dist. '!Print_Area</vt:lpstr>
      <vt:lpstr>'5-RRTS (BF &amp; No 2%)'!Print_Area</vt:lpstr>
      <vt:lpstr>'6  Multiple Violations Dist. '!Print_Area</vt:lpstr>
      <vt:lpstr>'7-RLTS'!Print_Area</vt:lpstr>
      <vt:lpstr>'8-RLBF (No 30%)'!Print_Area</vt:lpstr>
      <vt:lpstr>'9-SpBF'!Print_Area</vt:lpstr>
      <vt:lpstr>'Cover Page'!Print_Area</vt:lpstr>
      <vt:lpstr>'Local Penalties'!Print_Area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2018-04-20T22:33:47Z</cp:lastPrinted>
  <dcterms:created xsi:type="dcterms:W3CDTF">2007-12-13T20:20:54Z</dcterms:created>
  <dcterms:modified xsi:type="dcterms:W3CDTF">2018-04-24T18:09:27Z</dcterms:modified>
</cp:coreProperties>
</file>